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Tammy\Desktop\"/>
    </mc:Choice>
  </mc:AlternateContent>
  <bookViews>
    <workbookView xWindow="0" yWindow="0" windowWidth="28800" windowHeight="12300" tabRatio="909" activeTab="17"/>
  </bookViews>
  <sheets>
    <sheet name="Instructions" sheetId="64" r:id="rId1"/>
    <sheet name="inputPrYr" sheetId="2" r:id="rId2"/>
    <sheet name="inputOth" sheetId="43" r:id="rId3"/>
    <sheet name="inputHearing" sheetId="67" r:id="rId4"/>
    <sheet name="CPA Summary" sheetId="63" r:id="rId5"/>
    <sheet name="Cert" sheetId="3" r:id="rId6"/>
    <sheet name="Mvalloc" sheetId="5" r:id="rId7"/>
    <sheet name="Transfers" sheetId="32" r:id="rId8"/>
    <sheet name="Transfer Statutes" sheetId="45" r:id="rId9"/>
    <sheet name="Debt" sheetId="22" r:id="rId10"/>
    <sheet name="LP Form" sheetId="23" r:id="rId11"/>
    <sheet name="Library Grant" sheetId="57" r:id="rId12"/>
    <sheet name="General" sheetId="7" r:id="rId13"/>
    <sheet name="General Detail" sheetId="9" r:id="rId14"/>
    <sheet name="DebtSvs-Library" sheetId="34" r:id="rId15"/>
    <sheet name="Employ Benys" sheetId="8" r:id="rId16"/>
    <sheet name="tort" sheetId="10" r:id="rId17"/>
    <sheet name="Spec Hwy" sheetId="14" r:id="rId18"/>
    <sheet name="cemetary" sheetId="15" r:id="rId19"/>
    <sheet name="Combined sales tax" sheetId="35" r:id="rId20"/>
    <sheet name="Community sales tax" sheetId="36" r:id="rId21"/>
    <sheet name="WaterSewer Utility" sheetId="37" r:id="rId22"/>
    <sheet name="Reserve Funds A" sheetId="39" r:id="rId23"/>
    <sheet name="Reserve Funds B" sheetId="40" r:id="rId24"/>
    <sheet name="Non-Bud Fund Statutes" sheetId="46" r:id="rId25"/>
    <sheet name="Summary Budget Hearing Notice" sheetId="21" r:id="rId26"/>
    <sheet name="Combined Rate-Bud Hearing Notic" sheetId="70" r:id="rId27"/>
    <sheet name="RNR Hearing Notice" sheetId="71" r:id="rId28"/>
    <sheet name="NR Rebate" sheetId="44" r:id="rId29"/>
    <sheet name="SAMPLE Notice to County Clerk" sheetId="69" r:id="rId30"/>
    <sheet name="SAMPLE Roll Call to Exceed RNR" sheetId="79" r:id="rId31"/>
    <sheet name="SAMPLE Resolution to Exceed RNR" sheetId="68" r:id="rId32"/>
    <sheet name="Tab A" sheetId="72" r:id="rId33"/>
    <sheet name="Tab B" sheetId="73" r:id="rId34"/>
    <sheet name="Tab C" sheetId="74" r:id="rId35"/>
    <sheet name="Tab D" sheetId="75" r:id="rId36"/>
    <sheet name="Tab E" sheetId="76" r:id="rId37"/>
    <sheet name="Budget Tools" sheetId="77" r:id="rId38"/>
    <sheet name="Legend" sheetId="78" r:id="rId39"/>
  </sheets>
  <externalReferences>
    <externalReference r:id="rId40"/>
  </externalReferences>
  <definedNames>
    <definedName name="_xlnm.Print_Area" localSheetId="26">'Combined Rate-Bud Hearing Notic'!$A$1:$H$72</definedName>
    <definedName name="_xlnm.Print_Area" localSheetId="14">'DebtSvs-Library'!$B$1:$E$86</definedName>
    <definedName name="_xlnm.Print_Area" localSheetId="15">'Employ Benys'!$A$1:$E$85</definedName>
    <definedName name="_xlnm.Print_Area" localSheetId="12">General!$B$1:$E$121</definedName>
    <definedName name="_xlnm.Print_Area" localSheetId="1">inputPrYr!$A$1:$E$126</definedName>
    <definedName name="_xlnm.Print_Area" localSheetId="11">'Library Grant'!$A$1:$J$40</definedName>
    <definedName name="_xlnm.Print_Area" localSheetId="10">'LP Form'!$B$1:$I$38</definedName>
    <definedName name="_xlnm.Print_Area" localSheetId="6">Mvalloc!$A$1:$I$35</definedName>
    <definedName name="_xlnm.Print_Area" localSheetId="27">'RNR Hearing Notice'!$A$1:$H$17</definedName>
    <definedName name="_xlnm.Print_Area" localSheetId="25">'Summary Budget Hearing Notice'!$A$1:$H$72</definedName>
    <definedName name="_xlnm.Print_Area" localSheetId="16">tort!$B$1:$E$85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9" l="1"/>
  <c r="D39" i="9"/>
  <c r="E93" i="7"/>
  <c r="C30" i="7" l="1"/>
  <c r="B9" i="9"/>
  <c r="B45" i="9"/>
  <c r="C90" i="7"/>
  <c r="A7" i="76" l="1"/>
  <c r="A6" i="76"/>
  <c r="A35" i="75"/>
  <c r="A31" i="75"/>
  <c r="A5" i="75"/>
  <c r="A30" i="74"/>
  <c r="A26" i="74"/>
  <c r="A15" i="74"/>
  <c r="A7" i="74"/>
  <c r="A6" i="74"/>
  <c r="A29" i="73"/>
  <c r="A28" i="73"/>
  <c r="A5" i="73"/>
  <c r="A59" i="72"/>
  <c r="A58" i="72"/>
  <c r="A56" i="72"/>
  <c r="A27" i="72"/>
  <c r="A23" i="72"/>
  <c r="A20" i="72"/>
  <c r="A14" i="72"/>
  <c r="A6" i="72"/>
  <c r="A5" i="72"/>
  <c r="F22" i="3"/>
  <c r="F23" i="3"/>
  <c r="F24" i="3"/>
  <c r="F25" i="3"/>
  <c r="F26" i="3"/>
  <c r="F27" i="3"/>
  <c r="F28" i="3"/>
  <c r="F29" i="3"/>
  <c r="F30" i="3"/>
  <c r="F31" i="3"/>
  <c r="F21" i="3"/>
  <c r="F20" i="3"/>
  <c r="F19" i="3"/>
  <c r="F56" i="3" l="1"/>
  <c r="C43" i="3"/>
  <c r="C37" i="3"/>
  <c r="C36" i="3"/>
  <c r="C35" i="3"/>
  <c r="F63" i="3" l="1"/>
  <c r="B70" i="70"/>
  <c r="A69" i="70"/>
  <c r="C60" i="3"/>
  <c r="C59" i="3"/>
  <c r="C58" i="3"/>
  <c r="C57" i="3"/>
  <c r="A10" i="71"/>
  <c r="A6" i="71"/>
  <c r="A5" i="71"/>
  <c r="A7" i="70"/>
  <c r="A5" i="70"/>
  <c r="D64" i="70"/>
  <c r="B64" i="70"/>
  <c r="D63" i="70"/>
  <c r="B63" i="70"/>
  <c r="D62" i="70"/>
  <c r="B62" i="70"/>
  <c r="D61" i="70"/>
  <c r="B61" i="70"/>
  <c r="F58" i="70"/>
  <c r="M62" i="70" s="1"/>
  <c r="D58" i="70"/>
  <c r="B58" i="70"/>
  <c r="B56" i="70"/>
  <c r="H53" i="70"/>
  <c r="A51" i="70"/>
  <c r="A50" i="70"/>
  <c r="A49" i="70"/>
  <c r="A48" i="70"/>
  <c r="A47" i="70"/>
  <c r="A46" i="70"/>
  <c r="A45" i="70"/>
  <c r="A44" i="70"/>
  <c r="A43" i="70"/>
  <c r="A42" i="70"/>
  <c r="A41" i="70"/>
  <c r="A40" i="70"/>
  <c r="A39" i="70"/>
  <c r="A38" i="70"/>
  <c r="A37" i="70"/>
  <c r="A36" i="70"/>
  <c r="A35" i="70"/>
  <c r="A34" i="70"/>
  <c r="A33" i="70"/>
  <c r="A32" i="70"/>
  <c r="A31" i="70"/>
  <c r="A30" i="70"/>
  <c r="A29" i="70"/>
  <c r="A28" i="70"/>
  <c r="E27" i="70"/>
  <c r="C27" i="70"/>
  <c r="A27" i="70"/>
  <c r="E26" i="70"/>
  <c r="C26" i="70"/>
  <c r="A26" i="70"/>
  <c r="E25" i="70"/>
  <c r="C25" i="70"/>
  <c r="A25" i="70"/>
  <c r="E24" i="70"/>
  <c r="C24" i="70"/>
  <c r="A24" i="70"/>
  <c r="E23" i="70"/>
  <c r="C23" i="70"/>
  <c r="A23" i="70"/>
  <c r="E22" i="70"/>
  <c r="C22" i="70"/>
  <c r="A22" i="70"/>
  <c r="E21" i="70"/>
  <c r="C21" i="70"/>
  <c r="A21" i="70"/>
  <c r="E20" i="70"/>
  <c r="C20" i="70"/>
  <c r="A20" i="70"/>
  <c r="E19" i="70"/>
  <c r="C19" i="70"/>
  <c r="A19" i="70"/>
  <c r="E18" i="70"/>
  <c r="C18" i="70"/>
  <c r="A18" i="70"/>
  <c r="E17" i="70"/>
  <c r="C17" i="70"/>
  <c r="A17" i="70"/>
  <c r="E16" i="70"/>
  <c r="C16" i="70"/>
  <c r="A16" i="70"/>
  <c r="E15" i="70"/>
  <c r="C15" i="70"/>
  <c r="A15" i="70"/>
  <c r="A4" i="70"/>
  <c r="H2" i="70"/>
  <c r="J54" i="34"/>
  <c r="J55" i="34"/>
  <c r="J56" i="34"/>
  <c r="G104" i="7"/>
  <c r="G30" i="34"/>
  <c r="G72" i="34"/>
  <c r="G29" i="8"/>
  <c r="G71" i="8"/>
  <c r="G30" i="10"/>
  <c r="G72" i="10"/>
  <c r="M43" i="70" l="1"/>
  <c r="J62" i="70"/>
  <c r="H1" i="71"/>
  <c r="B65" i="70"/>
  <c r="C52" i="70"/>
  <c r="E52" i="70"/>
  <c r="M47" i="70" s="1"/>
  <c r="M55" i="70" s="1"/>
  <c r="D65" i="70"/>
  <c r="J41" i="70"/>
  <c r="J52" i="70"/>
  <c r="J45" i="70"/>
  <c r="J47" i="70"/>
  <c r="J55" i="70"/>
  <c r="B60" i="70"/>
  <c r="J61" i="70"/>
  <c r="A9" i="70"/>
  <c r="B12" i="70"/>
  <c r="D60" i="70"/>
  <c r="J63" i="70"/>
  <c r="D12" i="70"/>
  <c r="F60" i="70"/>
  <c r="F12" i="70"/>
  <c r="J54" i="70"/>
  <c r="J60" i="70"/>
  <c r="G13" i="70"/>
  <c r="J48" i="70"/>
  <c r="B70" i="21"/>
  <c r="A69" i="21"/>
  <c r="A7" i="21"/>
  <c r="A5" i="21"/>
  <c r="G9" i="23"/>
  <c r="C57" i="7"/>
  <c r="C121" i="7" s="1"/>
  <c r="H53" i="21"/>
  <c r="A37" i="3"/>
  <c r="A36" i="3"/>
  <c r="A35" i="3"/>
  <c r="A43" i="3"/>
  <c r="E18" i="44"/>
  <c r="E17" i="44"/>
  <c r="E16" i="44"/>
  <c r="E15" i="44"/>
  <c r="E14" i="44"/>
  <c r="E13" i="44"/>
  <c r="E12" i="44"/>
  <c r="E57" i="10" s="1"/>
  <c r="E11" i="44"/>
  <c r="E18" i="10" s="1"/>
  <c r="E10" i="44"/>
  <c r="E57" i="8" s="1"/>
  <c r="E9" i="44"/>
  <c r="E17" i="8" s="1"/>
  <c r="E8" i="44"/>
  <c r="E58" i="34" s="1"/>
  <c r="E7" i="44"/>
  <c r="E18" i="34" s="1"/>
  <c r="E6" i="44"/>
  <c r="E51" i="7" s="1"/>
  <c r="H26" i="5"/>
  <c r="G25" i="5"/>
  <c r="D47" i="34"/>
  <c r="E15" i="57" s="1"/>
  <c r="E19" i="57"/>
  <c r="E18" i="57"/>
  <c r="E17" i="57"/>
  <c r="G16" i="57"/>
  <c r="E16" i="57"/>
  <c r="D56" i="2"/>
  <c r="J14" i="10"/>
  <c r="J13" i="10"/>
  <c r="J13" i="8"/>
  <c r="J12" i="8"/>
  <c r="J14" i="34"/>
  <c r="J13" i="34"/>
  <c r="J12" i="10"/>
  <c r="J54" i="10"/>
  <c r="J11" i="8"/>
  <c r="J53" i="8"/>
  <c r="J12" i="34"/>
  <c r="J86" i="7"/>
  <c r="C17" i="3"/>
  <c r="A17" i="3"/>
  <c r="B67" i="9"/>
  <c r="J88" i="7"/>
  <c r="B8" i="57"/>
  <c r="B7" i="57"/>
  <c r="B5" i="57"/>
  <c r="B18" i="44"/>
  <c r="B17" i="44"/>
  <c r="B16" i="44"/>
  <c r="B15" i="44"/>
  <c r="B14" i="44"/>
  <c r="B13" i="44"/>
  <c r="B12" i="44"/>
  <c r="B11" i="44"/>
  <c r="B10" i="44"/>
  <c r="B9" i="44"/>
  <c r="B8" i="44"/>
  <c r="D72" i="9"/>
  <c r="C72" i="9"/>
  <c r="B72" i="9"/>
  <c r="D74" i="10"/>
  <c r="D99" i="10" s="1"/>
  <c r="D35" i="10"/>
  <c r="D97" i="10" s="1"/>
  <c r="D74" i="8"/>
  <c r="D100" i="8" s="1"/>
  <c r="D34" i="8"/>
  <c r="D98" i="8" s="1"/>
  <c r="C47" i="3"/>
  <c r="C46" i="3"/>
  <c r="C45" i="3"/>
  <c r="C44" i="3"/>
  <c r="A46" i="3"/>
  <c r="A45" i="3"/>
  <c r="A44" i="3"/>
  <c r="D75" i="34"/>
  <c r="B44" i="10"/>
  <c r="B5" i="10"/>
  <c r="B43" i="8"/>
  <c r="B5" i="8"/>
  <c r="B44" i="34"/>
  <c r="G14" i="57"/>
  <c r="E14" i="57"/>
  <c r="B47" i="57" s="1"/>
  <c r="B31" i="3"/>
  <c r="B30" i="3"/>
  <c r="B29" i="3"/>
  <c r="B28" i="3"/>
  <c r="B27" i="3"/>
  <c r="B26" i="3"/>
  <c r="B25" i="3"/>
  <c r="B24" i="3"/>
  <c r="B23" i="3"/>
  <c r="B22" i="3"/>
  <c r="B21" i="3"/>
  <c r="A31" i="3"/>
  <c r="A30" i="3"/>
  <c r="A29" i="3"/>
  <c r="A28" i="3"/>
  <c r="A27" i="3"/>
  <c r="A26" i="3"/>
  <c r="A25" i="3"/>
  <c r="A24" i="3"/>
  <c r="A23" i="3"/>
  <c r="A22" i="3"/>
  <c r="A21" i="3"/>
  <c r="C19" i="5"/>
  <c r="C18" i="5"/>
  <c r="C17" i="5"/>
  <c r="C16" i="5"/>
  <c r="C15" i="5"/>
  <c r="C14" i="5"/>
  <c r="C13" i="5"/>
  <c r="C12" i="5"/>
  <c r="C11" i="5"/>
  <c r="C10" i="5"/>
  <c r="C9" i="5"/>
  <c r="B19" i="5"/>
  <c r="B18" i="5"/>
  <c r="B17" i="5"/>
  <c r="B16" i="5"/>
  <c r="B15" i="5"/>
  <c r="B14" i="5"/>
  <c r="B13" i="5"/>
  <c r="B12" i="5"/>
  <c r="B11" i="5"/>
  <c r="B10" i="5"/>
  <c r="B9" i="5"/>
  <c r="A27" i="21"/>
  <c r="A26" i="21"/>
  <c r="A25" i="21"/>
  <c r="A24" i="21"/>
  <c r="A23" i="21"/>
  <c r="A22" i="21"/>
  <c r="A21" i="21"/>
  <c r="A20" i="21"/>
  <c r="A19" i="21"/>
  <c r="A18" i="21"/>
  <c r="A17" i="21"/>
  <c r="A77" i="43"/>
  <c r="A76" i="43"/>
  <c r="A75" i="43"/>
  <c r="A74" i="43"/>
  <c r="A73" i="43"/>
  <c r="A72" i="43"/>
  <c r="A71" i="43"/>
  <c r="A70" i="43"/>
  <c r="A69" i="43"/>
  <c r="A68" i="43"/>
  <c r="A67" i="43"/>
  <c r="A36" i="43"/>
  <c r="A35" i="43"/>
  <c r="A34" i="43"/>
  <c r="A33" i="43"/>
  <c r="A32" i="43"/>
  <c r="A31" i="43"/>
  <c r="A30" i="43"/>
  <c r="A29" i="43"/>
  <c r="A28" i="43"/>
  <c r="A27" i="43"/>
  <c r="A26" i="43"/>
  <c r="B97" i="2"/>
  <c r="B96" i="2"/>
  <c r="B95" i="2"/>
  <c r="B94" i="2"/>
  <c r="B93" i="2"/>
  <c r="B92" i="2"/>
  <c r="B91" i="2"/>
  <c r="B90" i="2"/>
  <c r="B89" i="2"/>
  <c r="B88" i="2"/>
  <c r="B87" i="2"/>
  <c r="G35" i="2"/>
  <c r="G34" i="2"/>
  <c r="G33" i="2"/>
  <c r="G32" i="2"/>
  <c r="G31" i="2"/>
  <c r="G30" i="2"/>
  <c r="G29" i="2"/>
  <c r="D47" i="10"/>
  <c r="D60" i="10" s="1"/>
  <c r="D59" i="10" s="1"/>
  <c r="G28" i="2"/>
  <c r="D8" i="10"/>
  <c r="D21" i="10" s="1"/>
  <c r="G27" i="2"/>
  <c r="D46" i="8"/>
  <c r="D60" i="8" s="1"/>
  <c r="D59" i="8" s="1"/>
  <c r="G26" i="2"/>
  <c r="D8" i="8"/>
  <c r="D20" i="8" s="1"/>
  <c r="D19" i="8" s="1"/>
  <c r="G24" i="2"/>
  <c r="G23" i="2"/>
  <c r="D8" i="34"/>
  <c r="D21" i="34" s="1"/>
  <c r="D20" i="34" s="1"/>
  <c r="G22" i="2"/>
  <c r="D9" i="7"/>
  <c r="D54" i="7" s="1"/>
  <c r="D53" i="7" s="1"/>
  <c r="C19" i="44"/>
  <c r="E27" i="21"/>
  <c r="C27" i="21"/>
  <c r="D64" i="21"/>
  <c r="B64" i="21"/>
  <c r="D63" i="21"/>
  <c r="B63" i="21"/>
  <c r="D62" i="21"/>
  <c r="B62" i="21"/>
  <c r="D61" i="21"/>
  <c r="B61" i="21"/>
  <c r="F58" i="21"/>
  <c r="G27" i="57" s="1"/>
  <c r="D58" i="21"/>
  <c r="E27" i="57" s="1"/>
  <c r="B58" i="21"/>
  <c r="B56" i="21"/>
  <c r="C74" i="8"/>
  <c r="C100" i="8" s="1"/>
  <c r="C35" i="10"/>
  <c r="C74" i="10"/>
  <c r="C99" i="10" s="1"/>
  <c r="C34" i="8"/>
  <c r="C75" i="34"/>
  <c r="C31" i="3"/>
  <c r="C30" i="3"/>
  <c r="C29" i="3"/>
  <c r="C28" i="3"/>
  <c r="C27" i="3"/>
  <c r="C26" i="3"/>
  <c r="C25" i="3"/>
  <c r="C21" i="3"/>
  <c r="C23" i="3"/>
  <c r="C22" i="3"/>
  <c r="C24" i="3"/>
  <c r="E32" i="2"/>
  <c r="D56" i="70" s="1"/>
  <c r="D73" i="34"/>
  <c r="D17" i="70" s="1"/>
  <c r="C73" i="34"/>
  <c r="C61" i="34"/>
  <c r="D33" i="34"/>
  <c r="C33" i="34"/>
  <c r="C21" i="34"/>
  <c r="C20" i="34" s="1"/>
  <c r="C35" i="34"/>
  <c r="D35" i="34"/>
  <c r="C20" i="3"/>
  <c r="D18" i="44"/>
  <c r="B1" i="34"/>
  <c r="E1" i="34"/>
  <c r="D37" i="43"/>
  <c r="D98" i="2"/>
  <c r="C110" i="7"/>
  <c r="D110" i="7"/>
  <c r="D78" i="10"/>
  <c r="D39" i="10"/>
  <c r="D78" i="8"/>
  <c r="D38" i="8"/>
  <c r="D39" i="34"/>
  <c r="D79" i="34"/>
  <c r="D114" i="7"/>
  <c r="A42" i="21"/>
  <c r="A41" i="21"/>
  <c r="A40" i="21"/>
  <c r="A39" i="21"/>
  <c r="D43" i="70"/>
  <c r="B43" i="70"/>
  <c r="D42" i="70"/>
  <c r="B42" i="70"/>
  <c r="F41" i="70"/>
  <c r="D40" i="70"/>
  <c r="B40" i="70"/>
  <c r="B40" i="21"/>
  <c r="A93" i="43"/>
  <c r="A92" i="43"/>
  <c r="A91" i="43"/>
  <c r="A90" i="43"/>
  <c r="A89" i="43"/>
  <c r="B79" i="7"/>
  <c r="B80" i="7"/>
  <c r="B81" i="7"/>
  <c r="B78" i="7"/>
  <c r="B77" i="7"/>
  <c r="B76" i="7"/>
  <c r="B75" i="7"/>
  <c r="B74" i="7"/>
  <c r="D129" i="9"/>
  <c r="E81" i="7" s="1"/>
  <c r="C129" i="9"/>
  <c r="D81" i="7" s="1"/>
  <c r="B129" i="9"/>
  <c r="C81" i="7" s="1"/>
  <c r="D122" i="9"/>
  <c r="E80" i="7" s="1"/>
  <c r="C122" i="9"/>
  <c r="D80" i="7" s="1"/>
  <c r="B122" i="9"/>
  <c r="C80" i="7" s="1"/>
  <c r="D115" i="9"/>
  <c r="E79" i="7" s="1"/>
  <c r="C115" i="9"/>
  <c r="D79" i="7" s="1"/>
  <c r="B115" i="9"/>
  <c r="C79" i="7" s="1"/>
  <c r="D108" i="9"/>
  <c r="E78" i="7" s="1"/>
  <c r="C108" i="9"/>
  <c r="D78" i="7" s="1"/>
  <c r="B108" i="9"/>
  <c r="C78" i="7" s="1"/>
  <c r="D101" i="9"/>
  <c r="E77" i="7" s="1"/>
  <c r="C101" i="9"/>
  <c r="D77" i="7" s="1"/>
  <c r="B101" i="9"/>
  <c r="D95" i="9"/>
  <c r="E76" i="7" s="1"/>
  <c r="C95" i="9"/>
  <c r="D76" i="7" s="1"/>
  <c r="B95" i="9"/>
  <c r="C76" i="7" s="1"/>
  <c r="D88" i="9"/>
  <c r="E75" i="7"/>
  <c r="C88" i="9"/>
  <c r="D75" i="7" s="1"/>
  <c r="B88" i="9"/>
  <c r="C75" i="7" s="1"/>
  <c r="D81" i="9"/>
  <c r="E74" i="7" s="1"/>
  <c r="C81" i="9"/>
  <c r="D74" i="7" s="1"/>
  <c r="B81" i="9"/>
  <c r="C74" i="7" s="1"/>
  <c r="D22" i="44"/>
  <c r="D24" i="44" s="1"/>
  <c r="A101" i="2"/>
  <c r="A100" i="2"/>
  <c r="D83" i="2"/>
  <c r="C26" i="14"/>
  <c r="B28" i="70" s="1"/>
  <c r="C15" i="14"/>
  <c r="C16" i="14" s="1"/>
  <c r="C27" i="14" s="1"/>
  <c r="D26" i="14"/>
  <c r="D28" i="70" s="1"/>
  <c r="E26" i="14"/>
  <c r="F28" i="70" s="1"/>
  <c r="C28" i="14"/>
  <c r="D28" i="14"/>
  <c r="C57" i="14"/>
  <c r="B29" i="70" s="1"/>
  <c r="D57" i="14"/>
  <c r="E57" i="14"/>
  <c r="F29" i="70" s="1"/>
  <c r="C59" i="14"/>
  <c r="D59" i="14"/>
  <c r="C28" i="15"/>
  <c r="B30" i="70" s="1"/>
  <c r="D28" i="15"/>
  <c r="D30" i="70" s="1"/>
  <c r="E28" i="15"/>
  <c r="F30" i="70" s="1"/>
  <c r="C30" i="15"/>
  <c r="D30" i="15"/>
  <c r="C57" i="15"/>
  <c r="B31" i="70" s="1"/>
  <c r="D57" i="15"/>
  <c r="D31" i="21" s="1"/>
  <c r="E57" i="15"/>
  <c r="E56" i="15" s="1"/>
  <c r="C59" i="15"/>
  <c r="C60" i="15" s="1"/>
  <c r="D59" i="15"/>
  <c r="D32" i="70"/>
  <c r="F32" i="70"/>
  <c r="B33" i="70"/>
  <c r="D33" i="70"/>
  <c r="B34" i="21"/>
  <c r="D34" i="70"/>
  <c r="F34" i="70"/>
  <c r="B35" i="70"/>
  <c r="D35" i="70"/>
  <c r="F35" i="70"/>
  <c r="B36" i="70"/>
  <c r="F36" i="70"/>
  <c r="B37" i="70"/>
  <c r="D37" i="70"/>
  <c r="F37" i="70"/>
  <c r="F38" i="70"/>
  <c r="B39" i="70"/>
  <c r="D39" i="70"/>
  <c r="F39" i="21"/>
  <c r="C44" i="35"/>
  <c r="B44" i="70" s="1"/>
  <c r="D44" i="35"/>
  <c r="D44" i="70" s="1"/>
  <c r="E44" i="35"/>
  <c r="F44" i="70" s="1"/>
  <c r="D46" i="35"/>
  <c r="C46" i="35"/>
  <c r="C47" i="35" s="1"/>
  <c r="C44" i="36"/>
  <c r="C43" i="36" s="1"/>
  <c r="D44" i="36"/>
  <c r="D45" i="70" s="1"/>
  <c r="E44" i="36"/>
  <c r="F45" i="70" s="1"/>
  <c r="C46" i="36"/>
  <c r="D46" i="36"/>
  <c r="C44" i="37"/>
  <c r="B46" i="70" s="1"/>
  <c r="D44" i="37"/>
  <c r="D46" i="21" s="1"/>
  <c r="E44" i="37"/>
  <c r="F46" i="70" s="1"/>
  <c r="D46" i="37"/>
  <c r="C46" i="37"/>
  <c r="B47" i="70"/>
  <c r="D47" i="70"/>
  <c r="D63" i="9"/>
  <c r="E73" i="7" s="1"/>
  <c r="D56" i="9"/>
  <c r="E72" i="7" s="1"/>
  <c r="D49" i="9"/>
  <c r="D42" i="9"/>
  <c r="E70" i="7" s="1"/>
  <c r="D35" i="9"/>
  <c r="E69" i="7" s="1"/>
  <c r="D29" i="9"/>
  <c r="E68" i="7" s="1"/>
  <c r="C63" i="9"/>
  <c r="D73" i="7" s="1"/>
  <c r="C56" i="9"/>
  <c r="D72" i="7" s="1"/>
  <c r="C49" i="9"/>
  <c r="D71" i="7" s="1"/>
  <c r="C42" i="9"/>
  <c r="D70" i="7" s="1"/>
  <c r="C35" i="9"/>
  <c r="D69" i="7" s="1"/>
  <c r="C29" i="9"/>
  <c r="D68" i="7" s="1"/>
  <c r="D22" i="9"/>
  <c r="E67" i="7" s="1"/>
  <c r="C15" i="9"/>
  <c r="D66" i="7" s="1"/>
  <c r="C22" i="9"/>
  <c r="D67" i="7" s="1"/>
  <c r="B63" i="9"/>
  <c r="C73" i="7" s="1"/>
  <c r="B56" i="9"/>
  <c r="C72" i="7" s="1"/>
  <c r="B49" i="9"/>
  <c r="C71" i="7" s="1"/>
  <c r="B42" i="9"/>
  <c r="C70" i="7" s="1"/>
  <c r="B35" i="9"/>
  <c r="C69" i="7" s="1"/>
  <c r="B29" i="9"/>
  <c r="C68" i="7" s="1"/>
  <c r="B22" i="9"/>
  <c r="C67" i="7" s="1"/>
  <c r="D15" i="9"/>
  <c r="E66" i="7" s="1"/>
  <c r="B15" i="9"/>
  <c r="C66" i="7" s="1"/>
  <c r="B72" i="7"/>
  <c r="B73" i="7"/>
  <c r="B71" i="7"/>
  <c r="B70" i="7"/>
  <c r="B69" i="7"/>
  <c r="B68" i="7"/>
  <c r="B67" i="7"/>
  <c r="B66" i="7"/>
  <c r="D33" i="10"/>
  <c r="D20" i="21" s="1"/>
  <c r="D72" i="10"/>
  <c r="D32" i="8"/>
  <c r="D18" i="70" s="1"/>
  <c r="D72" i="8"/>
  <c r="C7" i="5"/>
  <c r="C8" i="5"/>
  <c r="D26" i="70"/>
  <c r="D25" i="70"/>
  <c r="B24" i="70"/>
  <c r="B22" i="70"/>
  <c r="C72" i="10"/>
  <c r="C60" i="10"/>
  <c r="C59" i="10" s="1"/>
  <c r="C33" i="10"/>
  <c r="C21" i="10"/>
  <c r="C20" i="10" s="1"/>
  <c r="C72" i="8"/>
  <c r="B19" i="70" s="1"/>
  <c r="C60" i="8"/>
  <c r="C61" i="8" s="1"/>
  <c r="C32" i="8"/>
  <c r="C31" i="8" s="1"/>
  <c r="C20" i="8"/>
  <c r="C19" i="8" s="1"/>
  <c r="C54" i="7"/>
  <c r="C55" i="7" s="1"/>
  <c r="C64" i="7" s="1"/>
  <c r="E1" i="10"/>
  <c r="E1" i="8"/>
  <c r="D5" i="8" s="1"/>
  <c r="E1" i="7"/>
  <c r="C6" i="7" s="1"/>
  <c r="E1" i="14"/>
  <c r="D34" i="14" s="1"/>
  <c r="E1" i="15"/>
  <c r="C36" i="15" s="1"/>
  <c r="E1" i="37"/>
  <c r="E5" i="37" s="1"/>
  <c r="F1" i="44"/>
  <c r="B3" i="44" s="1"/>
  <c r="E16" i="2"/>
  <c r="G21" i="2" s="1"/>
  <c r="D16" i="2"/>
  <c r="A56" i="2"/>
  <c r="J28" i="40"/>
  <c r="J17" i="40"/>
  <c r="J18" i="40" s="1"/>
  <c r="H28" i="40"/>
  <c r="H17" i="40"/>
  <c r="H18" i="40"/>
  <c r="F17" i="40"/>
  <c r="F18" i="40" s="1"/>
  <c r="F28" i="40"/>
  <c r="D17" i="40"/>
  <c r="D18" i="40" s="1"/>
  <c r="D28" i="40"/>
  <c r="B17" i="40"/>
  <c r="B28" i="40"/>
  <c r="J17" i="39"/>
  <c r="J18" i="39" s="1"/>
  <c r="J28" i="39"/>
  <c r="H17" i="39"/>
  <c r="H18" i="39" s="1"/>
  <c r="H28" i="39"/>
  <c r="F17" i="39"/>
  <c r="F18" i="39" s="1"/>
  <c r="F28" i="39"/>
  <c r="D17" i="39"/>
  <c r="D18" i="39" s="1"/>
  <c r="D28" i="39"/>
  <c r="B28" i="39"/>
  <c r="B17" i="39"/>
  <c r="B18" i="39" s="1"/>
  <c r="B29" i="39" s="1"/>
  <c r="B30" i="39" s="1"/>
  <c r="K1" i="40"/>
  <c r="F2" i="40" s="1"/>
  <c r="K1" i="39"/>
  <c r="F2" i="39" s="1"/>
  <c r="H2" i="21"/>
  <c r="J62" i="21" s="1"/>
  <c r="E1" i="43"/>
  <c r="A56" i="43" s="1"/>
  <c r="E9" i="14"/>
  <c r="D9" i="14"/>
  <c r="D22" i="5"/>
  <c r="E23" i="5"/>
  <c r="F24" i="5"/>
  <c r="E17" i="7"/>
  <c r="E18" i="7"/>
  <c r="E16" i="7"/>
  <c r="D6" i="44"/>
  <c r="D7" i="44"/>
  <c r="E33" i="34"/>
  <c r="D8" i="44"/>
  <c r="E73" i="34"/>
  <c r="D9" i="44"/>
  <c r="E32" i="8"/>
  <c r="E31" i="8" s="1"/>
  <c r="D10" i="44"/>
  <c r="E72" i="8"/>
  <c r="F19" i="70" s="1"/>
  <c r="D11" i="44"/>
  <c r="E33" i="10"/>
  <c r="D12" i="44"/>
  <c r="E72" i="10"/>
  <c r="D13" i="44"/>
  <c r="D14" i="44"/>
  <c r="F23" i="70"/>
  <c r="D15" i="44"/>
  <c r="D28" i="3"/>
  <c r="D17" i="44"/>
  <c r="D16" i="44"/>
  <c r="A1" i="44"/>
  <c r="B7" i="44"/>
  <c r="B6" i="44"/>
  <c r="E44" i="14"/>
  <c r="E43" i="14" s="1"/>
  <c r="D44" i="14"/>
  <c r="D43" i="14" s="1"/>
  <c r="C44" i="14"/>
  <c r="C45" i="14" s="1"/>
  <c r="E18" i="37"/>
  <c r="E17" i="37" s="1"/>
  <c r="D18" i="37"/>
  <c r="D17" i="37" s="1"/>
  <c r="C18" i="37"/>
  <c r="C17" i="37" s="1"/>
  <c r="E18" i="36"/>
  <c r="E17" i="36" s="1"/>
  <c r="D18" i="36"/>
  <c r="D17" i="36" s="1"/>
  <c r="C18" i="36"/>
  <c r="C17" i="36" s="1"/>
  <c r="C19" i="36"/>
  <c r="C45" i="36" s="1"/>
  <c r="E17" i="35"/>
  <c r="E16" i="35" s="1"/>
  <c r="D17" i="35"/>
  <c r="D16" i="35" s="1"/>
  <c r="C17" i="35"/>
  <c r="C43" i="35"/>
  <c r="E15" i="15"/>
  <c r="E14" i="15" s="1"/>
  <c r="D15" i="15"/>
  <c r="D14" i="15" s="1"/>
  <c r="C15" i="15"/>
  <c r="C14" i="15" s="1"/>
  <c r="E46" i="15"/>
  <c r="E45" i="15"/>
  <c r="D46" i="15"/>
  <c r="D45" i="15" s="1"/>
  <c r="C46" i="15"/>
  <c r="C47" i="15" s="1"/>
  <c r="C58" i="15" s="1"/>
  <c r="D37" i="15" s="1"/>
  <c r="D47" i="15" s="1"/>
  <c r="C56" i="15"/>
  <c r="E8" i="14"/>
  <c r="D8" i="14"/>
  <c r="D26" i="44"/>
  <c r="D28" i="44"/>
  <c r="E1" i="35"/>
  <c r="B46" i="35" s="1"/>
  <c r="E1" i="36"/>
  <c r="E5" i="36" s="1"/>
  <c r="A97" i="43"/>
  <c r="A96" i="43"/>
  <c r="A95" i="43"/>
  <c r="A94" i="43"/>
  <c r="A88" i="43"/>
  <c r="A87" i="43"/>
  <c r="A86" i="43"/>
  <c r="A85" i="43"/>
  <c r="A84" i="43"/>
  <c r="A83" i="43"/>
  <c r="A82" i="43"/>
  <c r="A81" i="43"/>
  <c r="A80" i="43"/>
  <c r="A79" i="43"/>
  <c r="A78" i="43"/>
  <c r="A66" i="43"/>
  <c r="A65" i="43"/>
  <c r="C26" i="21"/>
  <c r="C25" i="21"/>
  <c r="C24" i="21"/>
  <c r="C23" i="21"/>
  <c r="C22" i="21"/>
  <c r="C21" i="21"/>
  <c r="C20" i="21"/>
  <c r="C19" i="21"/>
  <c r="C18" i="21"/>
  <c r="C17" i="21"/>
  <c r="I1" i="5"/>
  <c r="C6" i="5" s="1"/>
  <c r="D26" i="32"/>
  <c r="B54" i="70" s="1"/>
  <c r="A55" i="3"/>
  <c r="A54" i="3"/>
  <c r="A53" i="3"/>
  <c r="A52" i="3"/>
  <c r="A51" i="21"/>
  <c r="A50" i="21"/>
  <c r="A49" i="21"/>
  <c r="A48" i="21"/>
  <c r="M1" i="22"/>
  <c r="G7" i="22" s="1"/>
  <c r="D104" i="2"/>
  <c r="E104" i="2"/>
  <c r="A14" i="2"/>
  <c r="A103" i="2"/>
  <c r="A1" i="40"/>
  <c r="A1" i="39"/>
  <c r="B1" i="22"/>
  <c r="A32" i="2"/>
  <c r="F26" i="32"/>
  <c r="E26" i="32"/>
  <c r="G42" i="22"/>
  <c r="G32" i="22"/>
  <c r="G20" i="22"/>
  <c r="E26" i="21"/>
  <c r="E25" i="21"/>
  <c r="E24" i="21"/>
  <c r="E23" i="21"/>
  <c r="E22" i="21"/>
  <c r="E21" i="21"/>
  <c r="G71" i="10" s="1"/>
  <c r="E20" i="21"/>
  <c r="E19" i="21"/>
  <c r="G29" i="10" s="1"/>
  <c r="E18" i="21"/>
  <c r="G70" i="8" s="1"/>
  <c r="E17" i="21"/>
  <c r="G71" i="34" s="1"/>
  <c r="E16" i="21"/>
  <c r="G29" i="34" s="1"/>
  <c r="E15" i="21"/>
  <c r="G103" i="7" s="1"/>
  <c r="B44" i="21"/>
  <c r="C55" i="3"/>
  <c r="C54" i="3"/>
  <c r="C53" i="3"/>
  <c r="C52" i="3"/>
  <c r="C51" i="3"/>
  <c r="C50" i="3"/>
  <c r="C49" i="3"/>
  <c r="C48" i="3"/>
  <c r="A16" i="21"/>
  <c r="C16" i="21"/>
  <c r="A43" i="21"/>
  <c r="A47" i="3"/>
  <c r="B20" i="3"/>
  <c r="B8" i="5"/>
  <c r="B1" i="5"/>
  <c r="G1" i="32"/>
  <c r="F7" i="32" s="1"/>
  <c r="B1" i="32"/>
  <c r="M20" i="22"/>
  <c r="M32" i="22"/>
  <c r="M42" i="22"/>
  <c r="L20" i="22"/>
  <c r="L32" i="22"/>
  <c r="L42" i="22"/>
  <c r="K20" i="22"/>
  <c r="K32" i="22"/>
  <c r="K42" i="22"/>
  <c r="J20" i="22"/>
  <c r="J32" i="22"/>
  <c r="J42" i="22"/>
  <c r="I1" i="23"/>
  <c r="H9" i="23" s="1"/>
  <c r="D1" i="9"/>
  <c r="C5" i="9" s="1"/>
  <c r="C73" i="9" s="1"/>
  <c r="G1" i="3"/>
  <c r="D9" i="3" s="1"/>
  <c r="A2" i="3"/>
  <c r="A1" i="43"/>
  <c r="B5" i="35"/>
  <c r="B1" i="35"/>
  <c r="B5" i="36"/>
  <c r="B1" i="36"/>
  <c r="B5" i="37"/>
  <c r="B1" i="37"/>
  <c r="I5" i="40"/>
  <c r="G5" i="40"/>
  <c r="E5" i="40"/>
  <c r="C5" i="40"/>
  <c r="A5" i="40"/>
  <c r="I5" i="39"/>
  <c r="G5" i="39"/>
  <c r="E5" i="39"/>
  <c r="C5" i="39"/>
  <c r="A5" i="39"/>
  <c r="B86" i="2"/>
  <c r="A84" i="2"/>
  <c r="D84" i="2"/>
  <c r="K7" i="40"/>
  <c r="K7" i="39"/>
  <c r="A47" i="21"/>
  <c r="A46" i="21"/>
  <c r="A45" i="21"/>
  <c r="A51" i="3"/>
  <c r="A50" i="3"/>
  <c r="A49" i="3"/>
  <c r="B19" i="3"/>
  <c r="C42" i="3"/>
  <c r="C41" i="3"/>
  <c r="C40" i="3"/>
  <c r="C39" i="3"/>
  <c r="C38" i="3"/>
  <c r="C34" i="3"/>
  <c r="C33" i="3"/>
  <c r="C32" i="3"/>
  <c r="A48" i="3"/>
  <c r="A42" i="3"/>
  <c r="A41" i="3"/>
  <c r="A40" i="3"/>
  <c r="A39" i="3"/>
  <c r="A38" i="3"/>
  <c r="A34" i="3"/>
  <c r="A33" i="3"/>
  <c r="A32" i="3"/>
  <c r="A4" i="3"/>
  <c r="A1" i="9"/>
  <c r="A69" i="9" s="1"/>
  <c r="B63" i="7"/>
  <c r="B59" i="7"/>
  <c r="B6" i="7"/>
  <c r="B1" i="7"/>
  <c r="B85" i="2"/>
  <c r="B1" i="23"/>
  <c r="I28" i="23"/>
  <c r="H28" i="23"/>
  <c r="G28" i="23"/>
  <c r="F64" i="70" s="1"/>
  <c r="B7" i="5"/>
  <c r="B36" i="15"/>
  <c r="B5" i="15"/>
  <c r="B1" i="15"/>
  <c r="B1" i="8"/>
  <c r="B1" i="10"/>
  <c r="B34" i="14"/>
  <c r="B5" i="14"/>
  <c r="B1" i="14"/>
  <c r="A44" i="21"/>
  <c r="A38" i="21"/>
  <c r="A37" i="21"/>
  <c r="A36" i="21"/>
  <c r="A35" i="21"/>
  <c r="A34" i="21"/>
  <c r="A33" i="21"/>
  <c r="A32" i="21"/>
  <c r="A31" i="21"/>
  <c r="A30" i="21"/>
  <c r="A29" i="21"/>
  <c r="A28" i="21"/>
  <c r="C15" i="21"/>
  <c r="D37" i="21"/>
  <c r="D35" i="21"/>
  <c r="F33" i="21"/>
  <c r="A4" i="21"/>
  <c r="A15" i="21"/>
  <c r="E28" i="32"/>
  <c r="J55" i="10"/>
  <c r="J56" i="10"/>
  <c r="J87" i="7"/>
  <c r="J54" i="8"/>
  <c r="J55" i="8"/>
  <c r="F46" i="21"/>
  <c r="E43" i="37"/>
  <c r="E46" i="36"/>
  <c r="F37" i="21"/>
  <c r="F18" i="5"/>
  <c r="F14" i="5"/>
  <c r="G16" i="5"/>
  <c r="G19" i="5"/>
  <c r="G15" i="5"/>
  <c r="G17" i="5"/>
  <c r="G18" i="5"/>
  <c r="G14" i="5"/>
  <c r="G13" i="5"/>
  <c r="E52" i="10" s="1"/>
  <c r="H13" i="5"/>
  <c r="E53" i="10" s="1"/>
  <c r="H17" i="5"/>
  <c r="H14" i="5"/>
  <c r="H18" i="5"/>
  <c r="H15" i="5"/>
  <c r="H19" i="5"/>
  <c r="H16" i="5"/>
  <c r="F16" i="5"/>
  <c r="F15" i="5"/>
  <c r="D15" i="5"/>
  <c r="D14" i="5"/>
  <c r="D13" i="5"/>
  <c r="E49" i="10" s="1"/>
  <c r="D18" i="5"/>
  <c r="D17" i="5"/>
  <c r="D16" i="5"/>
  <c r="D19" i="5"/>
  <c r="E15" i="5"/>
  <c r="E18" i="5"/>
  <c r="F19" i="5"/>
  <c r="F13" i="5"/>
  <c r="E51" i="10" s="1"/>
  <c r="E16" i="5"/>
  <c r="E13" i="5"/>
  <c r="E50" i="10" s="1"/>
  <c r="E14" i="5"/>
  <c r="E19" i="5"/>
  <c r="E17" i="5"/>
  <c r="F17" i="5"/>
  <c r="B89" i="57"/>
  <c r="B135" i="9"/>
  <c r="D51" i="3"/>
  <c r="D47" i="3"/>
  <c r="F43" i="21"/>
  <c r="D43" i="21"/>
  <c r="B42" i="21"/>
  <c r="F41" i="21"/>
  <c r="B39" i="21"/>
  <c r="D38" i="21"/>
  <c r="D36" i="21"/>
  <c r="D40" i="3"/>
  <c r="F36" i="21"/>
  <c r="F34" i="21"/>
  <c r="D38" i="3"/>
  <c r="B30" i="21"/>
  <c r="C43" i="14"/>
  <c r="D71" i="8"/>
  <c r="E71" i="8"/>
  <c r="C53" i="7"/>
  <c r="F31" i="21"/>
  <c r="B24" i="21"/>
  <c r="B47" i="21"/>
  <c r="F47" i="21"/>
  <c r="B84" i="57"/>
  <c r="B78" i="57"/>
  <c r="D5" i="34"/>
  <c r="D46" i="3"/>
  <c r="D44" i="3"/>
  <c r="D37" i="3"/>
  <c r="D35" i="3"/>
  <c r="B46" i="37"/>
  <c r="D43" i="3"/>
  <c r="C45" i="15"/>
  <c r="B54" i="21"/>
  <c r="B18" i="40"/>
  <c r="F44" i="21"/>
  <c r="B25" i="21"/>
  <c r="D32" i="21"/>
  <c r="F27" i="21"/>
  <c r="C19" i="37"/>
  <c r="B31" i="21"/>
  <c r="D39" i="21"/>
  <c r="B37" i="21"/>
  <c r="F23" i="21"/>
  <c r="D27" i="3"/>
  <c r="D56" i="21"/>
  <c r="D22" i="21"/>
  <c r="D23" i="21"/>
  <c r="B19" i="21"/>
  <c r="H63" i="34"/>
  <c r="B30" i="34"/>
  <c r="E5" i="34"/>
  <c r="G13" i="34"/>
  <c r="H62" i="34"/>
  <c r="C40" i="34"/>
  <c r="C44" i="34"/>
  <c r="C19" i="3"/>
  <c r="E15" i="14"/>
  <c r="E14" i="14" s="1"/>
  <c r="D5" i="9"/>
  <c r="D73" i="9" s="1"/>
  <c r="B5" i="9"/>
  <c r="B73" i="9" s="1"/>
  <c r="D69" i="9"/>
  <c r="D20" i="10"/>
  <c r="G8" i="8"/>
  <c r="H17" i="8"/>
  <c r="H18" i="8"/>
  <c r="C5" i="8"/>
  <c r="C79" i="8"/>
  <c r="G12" i="8"/>
  <c r="E43" i="8"/>
  <c r="H22" i="8"/>
  <c r="H60" i="8"/>
  <c r="H62" i="8"/>
  <c r="L6" i="22"/>
  <c r="J54" i="21" l="1"/>
  <c r="E34" i="14"/>
  <c r="C45" i="37"/>
  <c r="D5" i="14"/>
  <c r="E56" i="14"/>
  <c r="B69" i="8"/>
  <c r="D32" i="3"/>
  <c r="E59" i="14"/>
  <c r="C59" i="8"/>
  <c r="B28" i="14"/>
  <c r="E25" i="14"/>
  <c r="F30" i="21"/>
  <c r="D47" i="37"/>
  <c r="C5" i="14"/>
  <c r="E5" i="35"/>
  <c r="B54" i="14"/>
  <c r="B59" i="14"/>
  <c r="H65" i="8"/>
  <c r="H59" i="8"/>
  <c r="C43" i="8"/>
  <c r="D23" i="3"/>
  <c r="F29" i="21"/>
  <c r="C34" i="14"/>
  <c r="C14" i="14"/>
  <c r="H98" i="7"/>
  <c r="B29" i="8"/>
  <c r="H19" i="8"/>
  <c r="G15" i="8"/>
  <c r="B34" i="8"/>
  <c r="D33" i="3"/>
  <c r="E5" i="14"/>
  <c r="H61" i="8"/>
  <c r="H23" i="8"/>
  <c r="C39" i="8"/>
  <c r="H20" i="8"/>
  <c r="D28" i="32"/>
  <c r="E74" i="8"/>
  <c r="B23" i="14"/>
  <c r="E28" i="14"/>
  <c r="E7" i="32"/>
  <c r="C31" i="32" s="1"/>
  <c r="C43" i="37"/>
  <c r="F60" i="21"/>
  <c r="J45" i="21"/>
  <c r="D29" i="40"/>
  <c r="D30" i="40" s="1"/>
  <c r="B41" i="37"/>
  <c r="D39" i="3"/>
  <c r="J61" i="21"/>
  <c r="D5" i="37"/>
  <c r="F32" i="21"/>
  <c r="H29" i="40"/>
  <c r="H30" i="40" s="1"/>
  <c r="C47" i="36"/>
  <c r="B12" i="21"/>
  <c r="C61" i="15"/>
  <c r="C5" i="37"/>
  <c r="H95" i="7"/>
  <c r="C115" i="7"/>
  <c r="D12" i="21"/>
  <c r="J52" i="21"/>
  <c r="G87" i="7"/>
  <c r="L43" i="22"/>
  <c r="A9" i="21"/>
  <c r="H94" i="7"/>
  <c r="C16" i="15"/>
  <c r="C29" i="15" s="1"/>
  <c r="C32" i="15" s="1"/>
  <c r="B60" i="21"/>
  <c r="B46" i="21"/>
  <c r="J29" i="40"/>
  <c r="J30" i="40" s="1"/>
  <c r="E5" i="15"/>
  <c r="G22" i="8"/>
  <c r="C98" i="8"/>
  <c r="B76" i="8"/>
  <c r="E76" i="8"/>
  <c r="F80" i="8"/>
  <c r="B46" i="36"/>
  <c r="J55" i="21"/>
  <c r="B41" i="35"/>
  <c r="D5" i="5"/>
  <c r="A17" i="43"/>
  <c r="H97" i="7"/>
  <c r="C5" i="35"/>
  <c r="G90" i="7"/>
  <c r="C63" i="7"/>
  <c r="B105" i="7"/>
  <c r="D60" i="21"/>
  <c r="D5" i="36"/>
  <c r="J60" i="21"/>
  <c r="J6" i="22"/>
  <c r="B41" i="36"/>
  <c r="D5" i="35"/>
  <c r="J41" i="21"/>
  <c r="C5" i="36"/>
  <c r="I9" i="23"/>
  <c r="K17" i="39"/>
  <c r="K30" i="39" s="1"/>
  <c r="D29" i="39"/>
  <c r="D30" i="39" s="1"/>
  <c r="K17" i="40"/>
  <c r="D47" i="35"/>
  <c r="D19" i="44"/>
  <c r="A8" i="43"/>
  <c r="F29" i="39"/>
  <c r="F30" i="39" s="1"/>
  <c r="A62" i="43"/>
  <c r="D42" i="3"/>
  <c r="J43" i="22"/>
  <c r="D65" i="21"/>
  <c r="D44" i="21"/>
  <c r="A9" i="43"/>
  <c r="A51" i="43"/>
  <c r="D25" i="14"/>
  <c r="F64" i="21"/>
  <c r="F29" i="40"/>
  <c r="F30" i="40" s="1"/>
  <c r="C47" i="37"/>
  <c r="C25" i="14"/>
  <c r="B43" i="21"/>
  <c r="D58" i="15"/>
  <c r="A6" i="43"/>
  <c r="D43" i="35"/>
  <c r="D28" i="21"/>
  <c r="C22" i="34"/>
  <c r="C34" i="34" s="1"/>
  <c r="D6" i="34" s="1"/>
  <c r="D22" i="34" s="1"/>
  <c r="D34" i="34" s="1"/>
  <c r="G18" i="34" s="1"/>
  <c r="J29" i="39"/>
  <c r="J30" i="39" s="1"/>
  <c r="D60" i="15"/>
  <c r="E27" i="15"/>
  <c r="G13" i="21"/>
  <c r="K28" i="40"/>
  <c r="D6" i="14"/>
  <c r="C30" i="14"/>
  <c r="B51" i="21"/>
  <c r="B51" i="70"/>
  <c r="F63" i="21"/>
  <c r="F63" i="70"/>
  <c r="D60" i="14"/>
  <c r="D29" i="70"/>
  <c r="F40" i="70"/>
  <c r="B29" i="40"/>
  <c r="B30" i="40" s="1"/>
  <c r="D54" i="21"/>
  <c r="D54" i="70"/>
  <c r="B26" i="70"/>
  <c r="D32" i="34"/>
  <c r="D16" i="70"/>
  <c r="D49" i="3"/>
  <c r="M43" i="22"/>
  <c r="F54" i="21"/>
  <c r="F54" i="70"/>
  <c r="C71" i="10"/>
  <c r="B21" i="70"/>
  <c r="D27" i="21"/>
  <c r="D27" i="70"/>
  <c r="D32" i="10"/>
  <c r="D20" i="70"/>
  <c r="B45" i="21"/>
  <c r="B45" i="70"/>
  <c r="B34" i="70"/>
  <c r="D29" i="14"/>
  <c r="F42" i="21"/>
  <c r="F42" i="70"/>
  <c r="B38" i="70"/>
  <c r="B38" i="21"/>
  <c r="D21" i="21"/>
  <c r="D21" i="70"/>
  <c r="F39" i="70"/>
  <c r="D36" i="15"/>
  <c r="B54" i="15"/>
  <c r="D26" i="3"/>
  <c r="F45" i="21"/>
  <c r="A58" i="43"/>
  <c r="A55" i="43"/>
  <c r="D25" i="21"/>
  <c r="D22" i="70"/>
  <c r="D43" i="37"/>
  <c r="D46" i="70"/>
  <c r="D41" i="3"/>
  <c r="D36" i="70"/>
  <c r="D36" i="3"/>
  <c r="E59" i="15"/>
  <c r="F31" i="70"/>
  <c r="C27" i="15"/>
  <c r="G65" i="34"/>
  <c r="B17" i="70"/>
  <c r="A32" i="44"/>
  <c r="G23" i="34"/>
  <c r="B16" i="70"/>
  <c r="D5" i="15"/>
  <c r="C63" i="43"/>
  <c r="D16" i="21"/>
  <c r="E30" i="15"/>
  <c r="D29" i="21"/>
  <c r="B33" i="21"/>
  <c r="D34" i="3"/>
  <c r="H92" i="7"/>
  <c r="H106" i="7"/>
  <c r="H105" i="7"/>
  <c r="H103" i="7"/>
  <c r="H102" i="7"/>
  <c r="B18" i="21"/>
  <c r="B18" i="70"/>
  <c r="B27" i="70"/>
  <c r="B65" i="9"/>
  <c r="B132" i="9" s="1"/>
  <c r="C65" i="9"/>
  <c r="C132" i="9" s="1"/>
  <c r="F47" i="70"/>
  <c r="D56" i="15"/>
  <c r="D31" i="70"/>
  <c r="F43" i="70"/>
  <c r="G9" i="34"/>
  <c r="H31" i="34"/>
  <c r="H29" i="34"/>
  <c r="H28" i="34"/>
  <c r="H74" i="34"/>
  <c r="H73" i="34"/>
  <c r="H71" i="34"/>
  <c r="H32" i="34"/>
  <c r="H70" i="34"/>
  <c r="G23" i="10"/>
  <c r="B20" i="70"/>
  <c r="D24" i="70"/>
  <c r="E34" i="8"/>
  <c r="F18" i="21"/>
  <c r="B30" i="15"/>
  <c r="D42" i="21"/>
  <c r="K18" i="39"/>
  <c r="A15" i="43"/>
  <c r="D98" i="34"/>
  <c r="D56" i="14"/>
  <c r="F61" i="21"/>
  <c r="F61" i="70"/>
  <c r="G50" i="8"/>
  <c r="H30" i="8"/>
  <c r="H31" i="8"/>
  <c r="H28" i="8"/>
  <c r="H27" i="8"/>
  <c r="H73" i="8"/>
  <c r="H72" i="8"/>
  <c r="H70" i="8"/>
  <c r="H69" i="8"/>
  <c r="D23" i="70"/>
  <c r="F33" i="70"/>
  <c r="F28" i="21"/>
  <c r="B41" i="21"/>
  <c r="B41" i="70"/>
  <c r="B65" i="21"/>
  <c r="B6" i="5"/>
  <c r="B59" i="15"/>
  <c r="K28" i="39"/>
  <c r="B48" i="70" s="1"/>
  <c r="A41" i="43"/>
  <c r="D24" i="21"/>
  <c r="F35" i="21"/>
  <c r="K43" i="22"/>
  <c r="D7" i="32"/>
  <c r="F62" i="21"/>
  <c r="F62" i="70"/>
  <c r="H24" i="10"/>
  <c r="H31" i="10"/>
  <c r="H29" i="10"/>
  <c r="H32" i="10"/>
  <c r="H28" i="10"/>
  <c r="H74" i="10"/>
  <c r="H73" i="10"/>
  <c r="H71" i="10"/>
  <c r="H70" i="10"/>
  <c r="B25" i="70"/>
  <c r="B32" i="21"/>
  <c r="B32" i="70"/>
  <c r="D41" i="21"/>
  <c r="D41" i="70"/>
  <c r="B49" i="21"/>
  <c r="B49" i="70"/>
  <c r="C5" i="15"/>
  <c r="A22" i="43"/>
  <c r="F40" i="21"/>
  <c r="D43" i="36"/>
  <c r="B25" i="15"/>
  <c r="E43" i="36"/>
  <c r="K30" i="40"/>
  <c r="G43" i="22"/>
  <c r="B23" i="21"/>
  <c r="B23" i="70"/>
  <c r="D19" i="21"/>
  <c r="D19" i="70"/>
  <c r="D38" i="70"/>
  <c r="B131" i="9"/>
  <c r="E36" i="8"/>
  <c r="D22" i="3"/>
  <c r="F27" i="70"/>
  <c r="F26" i="70"/>
  <c r="D29" i="3"/>
  <c r="F25" i="21"/>
  <c r="F25" i="70"/>
  <c r="F24" i="70"/>
  <c r="F22" i="70"/>
  <c r="E71" i="10"/>
  <c r="F21" i="70"/>
  <c r="E32" i="10"/>
  <c r="F20" i="70"/>
  <c r="F19" i="21"/>
  <c r="F38" i="8"/>
  <c r="F18" i="70"/>
  <c r="E72" i="34"/>
  <c r="F17" i="70"/>
  <c r="E32" i="34"/>
  <c r="F16" i="70"/>
  <c r="E19" i="44"/>
  <c r="D12" i="71"/>
  <c r="F60" i="3"/>
  <c r="E10" i="3"/>
  <c r="B73" i="3"/>
  <c r="A8" i="3"/>
  <c r="A7" i="3"/>
  <c r="D30" i="3"/>
  <c r="F26" i="21"/>
  <c r="B26" i="21"/>
  <c r="B27" i="21"/>
  <c r="D31" i="3"/>
  <c r="F22" i="21"/>
  <c r="G65" i="10"/>
  <c r="B21" i="21"/>
  <c r="C61" i="10"/>
  <c r="C73" i="10" s="1"/>
  <c r="C100" i="10" s="1"/>
  <c r="F38" i="10"/>
  <c r="D24" i="3"/>
  <c r="E60" i="10"/>
  <c r="G61" i="10" s="1"/>
  <c r="B76" i="10"/>
  <c r="E5" i="10"/>
  <c r="C22" i="10"/>
  <c r="C34" i="10" s="1"/>
  <c r="D6" i="10" s="1"/>
  <c r="D22" i="10" s="1"/>
  <c r="D34" i="10" s="1"/>
  <c r="C97" i="10"/>
  <c r="B37" i="10" s="1"/>
  <c r="G51" i="10"/>
  <c r="B69" i="10"/>
  <c r="E76" i="10"/>
  <c r="H23" i="10"/>
  <c r="H62" i="10"/>
  <c r="D71" i="10"/>
  <c r="C5" i="10"/>
  <c r="C32" i="10"/>
  <c r="G58" i="10"/>
  <c r="D44" i="10"/>
  <c r="H21" i="10"/>
  <c r="F80" i="10"/>
  <c r="H63" i="10"/>
  <c r="H66" i="10"/>
  <c r="D25" i="3"/>
  <c r="B74" i="10"/>
  <c r="B20" i="21"/>
  <c r="C40" i="10"/>
  <c r="B36" i="8"/>
  <c r="C21" i="8"/>
  <c r="C33" i="8" s="1"/>
  <c r="C5" i="34"/>
  <c r="C80" i="34"/>
  <c r="H65" i="34"/>
  <c r="E44" i="34"/>
  <c r="E77" i="34"/>
  <c r="D44" i="34"/>
  <c r="E37" i="34"/>
  <c r="C52" i="21"/>
  <c r="B75" i="34"/>
  <c r="G51" i="34"/>
  <c r="G55" i="34"/>
  <c r="E22" i="57"/>
  <c r="E29" i="57"/>
  <c r="F17" i="21"/>
  <c r="E75" i="34"/>
  <c r="F79" i="34"/>
  <c r="B17" i="21"/>
  <c r="C72" i="34"/>
  <c r="D21" i="3"/>
  <c r="G16" i="34"/>
  <c r="H24" i="34"/>
  <c r="H18" i="34"/>
  <c r="H19" i="34"/>
  <c r="H21" i="34"/>
  <c r="H20" i="34"/>
  <c r="C100" i="34"/>
  <c r="D82" i="7"/>
  <c r="D108" i="7" s="1"/>
  <c r="D15" i="21" s="1"/>
  <c r="E52" i="21"/>
  <c r="E28" i="57"/>
  <c r="J47" i="21"/>
  <c r="F12" i="21"/>
  <c r="H64" i="8"/>
  <c r="G54" i="8"/>
  <c r="G57" i="8"/>
  <c r="D43" i="8"/>
  <c r="E5" i="8"/>
  <c r="J63" i="21"/>
  <c r="J48" i="21"/>
  <c r="B74" i="8"/>
  <c r="D17" i="21"/>
  <c r="D72" i="34"/>
  <c r="B29" i="21"/>
  <c r="C56" i="14"/>
  <c r="C58" i="14"/>
  <c r="C60" i="14"/>
  <c r="D131" i="9"/>
  <c r="B22" i="21"/>
  <c r="D18" i="21"/>
  <c r="D31" i="8"/>
  <c r="D34" i="21"/>
  <c r="B48" i="21"/>
  <c r="C77" i="7"/>
  <c r="C82" i="7" s="1"/>
  <c r="C108" i="7" s="1"/>
  <c r="B15" i="70" s="1"/>
  <c r="D100" i="34"/>
  <c r="K18" i="40"/>
  <c r="C48" i="37"/>
  <c r="D6" i="37"/>
  <c r="D19" i="37" s="1"/>
  <c r="D45" i="37" s="1"/>
  <c r="C48" i="36"/>
  <c r="D6" i="36"/>
  <c r="D19" i="36" s="1"/>
  <c r="D45" i="36" s="1"/>
  <c r="D47" i="21"/>
  <c r="E46" i="35"/>
  <c r="D48" i="3"/>
  <c r="E43" i="35"/>
  <c r="D5" i="44"/>
  <c r="A22" i="44"/>
  <c r="C5" i="44"/>
  <c r="E5" i="44"/>
  <c r="B5" i="44"/>
  <c r="H65" i="10"/>
  <c r="H18" i="10"/>
  <c r="H61" i="10"/>
  <c r="G9" i="10"/>
  <c r="E44" i="10"/>
  <c r="B35" i="10"/>
  <c r="G16" i="10"/>
  <c r="G13" i="10"/>
  <c r="H60" i="10"/>
  <c r="C44" i="10"/>
  <c r="D5" i="10"/>
  <c r="H20" i="10"/>
  <c r="G55" i="10"/>
  <c r="C79" i="10"/>
  <c r="H19" i="10"/>
  <c r="B30" i="10"/>
  <c r="E71" i="7"/>
  <c r="E82" i="7" s="1"/>
  <c r="E108" i="7" s="1"/>
  <c r="F15" i="70" s="1"/>
  <c r="D65" i="9"/>
  <c r="D132" i="9" s="1"/>
  <c r="C20" i="5"/>
  <c r="D45" i="3"/>
  <c r="C32" i="34"/>
  <c r="C98" i="34"/>
  <c r="B16" i="21"/>
  <c r="D15" i="14"/>
  <c r="D14" i="14" s="1"/>
  <c r="F16" i="21"/>
  <c r="E35" i="34"/>
  <c r="F37" i="34"/>
  <c r="D20" i="3"/>
  <c r="G64" i="8"/>
  <c r="C73" i="8"/>
  <c r="C71" i="8"/>
  <c r="B35" i="21"/>
  <c r="C16" i="35"/>
  <c r="C18" i="35"/>
  <c r="C45" i="35" s="1"/>
  <c r="C60" i="34"/>
  <c r="C62" i="34"/>
  <c r="C74" i="34" s="1"/>
  <c r="F21" i="21"/>
  <c r="E74" i="10"/>
  <c r="F38" i="21"/>
  <c r="F24" i="21"/>
  <c r="D63" i="7"/>
  <c r="D6" i="7"/>
  <c r="B110" i="7"/>
  <c r="E63" i="7"/>
  <c r="H93" i="7"/>
  <c r="E6" i="7"/>
  <c r="G83" i="7"/>
  <c r="M43" i="21"/>
  <c r="M62" i="21"/>
  <c r="B36" i="21"/>
  <c r="D30" i="21"/>
  <c r="D27" i="15"/>
  <c r="D40" i="21"/>
  <c r="H29" i="39"/>
  <c r="H30" i="39" s="1"/>
  <c r="D45" i="21"/>
  <c r="D47" i="36"/>
  <c r="C31" i="15"/>
  <c r="F28" i="32"/>
  <c r="E36" i="15"/>
  <c r="F20" i="21"/>
  <c r="E37" i="10"/>
  <c r="E35" i="10"/>
  <c r="A14" i="43"/>
  <c r="A7" i="43"/>
  <c r="B63" i="43"/>
  <c r="A57" i="43"/>
  <c r="A39" i="43"/>
  <c r="E46" i="37"/>
  <c r="D50" i="3"/>
  <c r="D33" i="21"/>
  <c r="D31" i="15"/>
  <c r="C29" i="14"/>
  <c r="B28" i="21"/>
  <c r="C131" i="9"/>
  <c r="D61" i="34"/>
  <c r="D60" i="34" s="1"/>
  <c r="D26" i="21"/>
  <c r="G58" i="34"/>
  <c r="H60" i="34"/>
  <c r="B35" i="34"/>
  <c r="H66" i="34"/>
  <c r="H61" i="34"/>
  <c r="B91" i="57"/>
  <c r="B46" i="57"/>
  <c r="F65" i="21" l="1"/>
  <c r="D45" i="10"/>
  <c r="D61" i="10" s="1"/>
  <c r="D73" i="10" s="1"/>
  <c r="K29" i="40"/>
  <c r="D6" i="15"/>
  <c r="D16" i="15" s="1"/>
  <c r="D29" i="15" s="1"/>
  <c r="E6" i="15" s="1"/>
  <c r="E16" i="15" s="1"/>
  <c r="E29" i="15" s="1"/>
  <c r="E31" i="15" s="1"/>
  <c r="F65" i="70"/>
  <c r="C133" i="9"/>
  <c r="B133" i="9"/>
  <c r="D99" i="34"/>
  <c r="B37" i="34"/>
  <c r="C99" i="34"/>
  <c r="E6" i="34"/>
  <c r="E37" i="15"/>
  <c r="E47" i="15" s="1"/>
  <c r="E58" i="15" s="1"/>
  <c r="E60" i="15" s="1"/>
  <c r="D61" i="15"/>
  <c r="F52" i="70"/>
  <c r="F55" i="70" s="1"/>
  <c r="D107" i="7"/>
  <c r="D15" i="70"/>
  <c r="D52" i="70" s="1"/>
  <c r="D55" i="70" s="1"/>
  <c r="D133" i="7"/>
  <c r="B50" i="21"/>
  <c r="B50" i="70"/>
  <c r="B52" i="70" s="1"/>
  <c r="B55" i="70" s="1"/>
  <c r="C98" i="10"/>
  <c r="G74" i="34"/>
  <c r="G74" i="10"/>
  <c r="G73" i="8"/>
  <c r="G32" i="10"/>
  <c r="G31" i="8"/>
  <c r="G28" i="8"/>
  <c r="D6" i="8"/>
  <c r="D21" i="8" s="1"/>
  <c r="D33" i="8" s="1"/>
  <c r="C99" i="8"/>
  <c r="B77" i="34"/>
  <c r="M47" i="21"/>
  <c r="M55" i="21" s="1"/>
  <c r="G32" i="34"/>
  <c r="G106" i="7"/>
  <c r="C133" i="7"/>
  <c r="C107" i="7"/>
  <c r="C109" i="7"/>
  <c r="G97" i="7"/>
  <c r="B15" i="21"/>
  <c r="B52" i="21" s="1"/>
  <c r="B55" i="21" s="1"/>
  <c r="D52" i="21"/>
  <c r="D55" i="21" s="1"/>
  <c r="D6" i="35"/>
  <c r="D18" i="35" s="1"/>
  <c r="D45" i="35" s="1"/>
  <c r="C48" i="35"/>
  <c r="C61" i="14"/>
  <c r="D35" i="14"/>
  <c r="D45" i="14" s="1"/>
  <c r="D58" i="14" s="1"/>
  <c r="C101" i="34"/>
  <c r="D45" i="34"/>
  <c r="D62" i="34" s="1"/>
  <c r="D74" i="34" s="1"/>
  <c r="D48" i="36"/>
  <c r="E6" i="36"/>
  <c r="E19" i="36" s="1"/>
  <c r="E45" i="36" s="1"/>
  <c r="E47" i="36" s="1"/>
  <c r="D44" i="8"/>
  <c r="D61" i="8" s="1"/>
  <c r="D73" i="8" s="1"/>
  <c r="C101" i="8"/>
  <c r="E6" i="37"/>
  <c r="E19" i="37" s="1"/>
  <c r="E45" i="37" s="1"/>
  <c r="E47" i="37" s="1"/>
  <c r="D48" i="37"/>
  <c r="G60" i="10"/>
  <c r="E45" i="10"/>
  <c r="E61" i="10" s="1"/>
  <c r="E77" i="10" s="1"/>
  <c r="D100" i="10"/>
  <c r="B77" i="10" s="1"/>
  <c r="D133" i="9"/>
  <c r="G32" i="5"/>
  <c r="G12" i="5" s="1"/>
  <c r="E13" i="10" s="1"/>
  <c r="F31" i="5"/>
  <c r="F12" i="5" s="1"/>
  <c r="E12" i="10" s="1"/>
  <c r="E30" i="5"/>
  <c r="E12" i="5" s="1"/>
  <c r="E11" i="10" s="1"/>
  <c r="H33" i="5"/>
  <c r="H12" i="5" s="1"/>
  <c r="E14" i="10" s="1"/>
  <c r="D29" i="5"/>
  <c r="D12" i="5" s="1"/>
  <c r="E10" i="10" s="1"/>
  <c r="F114" i="7"/>
  <c r="E110" i="7"/>
  <c r="F15" i="21"/>
  <c r="F52" i="21" s="1"/>
  <c r="F55" i="21" s="1"/>
  <c r="D19" i="3"/>
  <c r="D56" i="3" s="1"/>
  <c r="E112" i="7"/>
  <c r="E107" i="7"/>
  <c r="K29" i="39"/>
  <c r="E6" i="10"/>
  <c r="D98" i="10"/>
  <c r="G18" i="10"/>
  <c r="D16" i="14"/>
  <c r="D27" i="14" s="1"/>
  <c r="D32" i="15" l="1"/>
  <c r="E78" i="10"/>
  <c r="E79" i="10" s="1"/>
  <c r="E21" i="10"/>
  <c r="G19" i="10" s="1"/>
  <c r="H10" i="5"/>
  <c r="E14" i="8" s="1"/>
  <c r="H11" i="5"/>
  <c r="E52" i="8" s="1"/>
  <c r="E10" i="5"/>
  <c r="E11" i="8" s="1"/>
  <c r="E11" i="5"/>
  <c r="E49" i="8" s="1"/>
  <c r="F10" i="5"/>
  <c r="E12" i="8" s="1"/>
  <c r="F11" i="5"/>
  <c r="E50" i="8" s="1"/>
  <c r="D10" i="5"/>
  <c r="E10" i="8" s="1"/>
  <c r="D11" i="5"/>
  <c r="E48" i="8" s="1"/>
  <c r="G10" i="5"/>
  <c r="E13" i="8" s="1"/>
  <c r="G11" i="5"/>
  <c r="E51" i="8" s="1"/>
  <c r="E8" i="5"/>
  <c r="E11" i="34" s="1"/>
  <c r="E9" i="5"/>
  <c r="E50" i="34" s="1"/>
  <c r="G18" i="57" s="1"/>
  <c r="F8" i="5"/>
  <c r="F9" i="5"/>
  <c r="E51" i="34" s="1"/>
  <c r="G19" i="57" s="1"/>
  <c r="H8" i="5"/>
  <c r="E14" i="34" s="1"/>
  <c r="H9" i="5"/>
  <c r="E53" i="34" s="1"/>
  <c r="D8" i="5"/>
  <c r="E10" i="34" s="1"/>
  <c r="D9" i="5"/>
  <c r="E49" i="34" s="1"/>
  <c r="G8" i="5"/>
  <c r="E13" i="34" s="1"/>
  <c r="G9" i="5"/>
  <c r="E52" i="34" s="1"/>
  <c r="E12" i="34"/>
  <c r="B38" i="34"/>
  <c r="B38" i="10"/>
  <c r="B112" i="7"/>
  <c r="G17" i="8"/>
  <c r="E6" i="8"/>
  <c r="D99" i="8"/>
  <c r="B37" i="8" s="1"/>
  <c r="G62" i="10"/>
  <c r="D61" i="14"/>
  <c r="E35" i="14"/>
  <c r="E45" i="14" s="1"/>
  <c r="E58" i="14" s="1"/>
  <c r="E60" i="14" s="1"/>
  <c r="C134" i="7"/>
  <c r="D7" i="7"/>
  <c r="D55" i="7" s="1"/>
  <c r="D101" i="8"/>
  <c r="B77" i="8" s="1"/>
  <c r="E44" i="8"/>
  <c r="G59" i="8"/>
  <c r="E6" i="14"/>
  <c r="E16" i="14" s="1"/>
  <c r="E27" i="14" s="1"/>
  <c r="E29" i="14" s="1"/>
  <c r="D30" i="14"/>
  <c r="E6" i="35"/>
  <c r="E18" i="35" s="1"/>
  <c r="E45" i="35" s="1"/>
  <c r="E47" i="35" s="1"/>
  <c r="D48" i="35"/>
  <c r="G60" i="34"/>
  <c r="E45" i="34"/>
  <c r="D101" i="34"/>
  <c r="B78" i="34" s="1"/>
  <c r="E7" i="5" l="1"/>
  <c r="D7" i="5"/>
  <c r="D20" i="5" s="1"/>
  <c r="E22" i="10"/>
  <c r="E38" i="10" s="1"/>
  <c r="E39" i="10" s="1"/>
  <c r="G26" i="21"/>
  <c r="H26" i="21" s="1"/>
  <c r="E30" i="3"/>
  <c r="G26" i="70"/>
  <c r="H26" i="70" s="1"/>
  <c r="G27" i="70"/>
  <c r="E31" i="3"/>
  <c r="H27" i="70"/>
  <c r="G27" i="21"/>
  <c r="H27" i="21" s="1"/>
  <c r="E29" i="3"/>
  <c r="G25" i="21"/>
  <c r="H25" i="21" s="1"/>
  <c r="G25" i="70"/>
  <c r="H25" i="70" s="1"/>
  <c r="H21" i="21"/>
  <c r="G70" i="10" s="1"/>
  <c r="G21" i="70"/>
  <c r="H21" i="70" s="1"/>
  <c r="G21" i="21"/>
  <c r="E59" i="10"/>
  <c r="E25" i="3"/>
  <c r="K62" i="10"/>
  <c r="E20" i="8"/>
  <c r="G18" i="8" s="1"/>
  <c r="H7" i="5"/>
  <c r="E15" i="7" s="1"/>
  <c r="G7" i="5"/>
  <c r="G20" i="5" s="1"/>
  <c r="E60" i="8"/>
  <c r="G60" i="8" s="1"/>
  <c r="G17" i="57"/>
  <c r="E61" i="34"/>
  <c r="G61" i="34" s="1"/>
  <c r="F7" i="5"/>
  <c r="E13" i="7" s="1"/>
  <c r="E21" i="34"/>
  <c r="E12" i="7"/>
  <c r="E20" i="5"/>
  <c r="E11" i="7"/>
  <c r="E14" i="7"/>
  <c r="G63" i="10"/>
  <c r="G66" i="10" s="1"/>
  <c r="D109" i="7"/>
  <c r="D64" i="7"/>
  <c r="H20" i="5" l="1"/>
  <c r="G22" i="21"/>
  <c r="H22" i="21" s="1"/>
  <c r="E26" i="3"/>
  <c r="E27" i="3"/>
  <c r="G23" i="21"/>
  <c r="H23" i="21" s="1"/>
  <c r="G23" i="70"/>
  <c r="H23" i="70" s="1"/>
  <c r="G22" i="70"/>
  <c r="H22" i="70" s="1"/>
  <c r="E21" i="8"/>
  <c r="E37" i="8" s="1"/>
  <c r="E40" i="10"/>
  <c r="G20" i="10" s="1"/>
  <c r="H24" i="21"/>
  <c r="G24" i="70"/>
  <c r="H24" i="70" s="1"/>
  <c r="G24" i="21"/>
  <c r="E28" i="3"/>
  <c r="E61" i="8"/>
  <c r="E77" i="8" s="1"/>
  <c r="E62" i="34"/>
  <c r="E78" i="34" s="1"/>
  <c r="F20" i="5"/>
  <c r="G19" i="34"/>
  <c r="E22" i="34"/>
  <c r="E38" i="34" s="1"/>
  <c r="E54" i="7"/>
  <c r="G93" i="7" s="1"/>
  <c r="G92" i="7"/>
  <c r="E7" i="7"/>
  <c r="D134" i="7"/>
  <c r="B113" i="7" s="1"/>
  <c r="K20" i="10" l="1"/>
  <c r="G21" i="10"/>
  <c r="G24" i="10" s="1"/>
  <c r="E78" i="8"/>
  <c r="E79" i="8" s="1"/>
  <c r="E20" i="10"/>
  <c r="G20" i="21"/>
  <c r="H20" i="21" s="1"/>
  <c r="G28" i="10" s="1"/>
  <c r="G20" i="70"/>
  <c r="H20" i="70" s="1"/>
  <c r="E24" i="3"/>
  <c r="E39" i="34"/>
  <c r="E40" i="34" s="1"/>
  <c r="E79" i="34"/>
  <c r="E38" i="8"/>
  <c r="E39" i="8" s="1"/>
  <c r="G61" i="8"/>
  <c r="E55" i="7"/>
  <c r="E64" i="7" s="1"/>
  <c r="G19" i="21" l="1"/>
  <c r="H19" i="21" s="1"/>
  <c r="G69" i="8" s="1"/>
  <c r="E59" i="8"/>
  <c r="E23" i="3"/>
  <c r="G19" i="70"/>
  <c r="H19" i="70" s="1"/>
  <c r="E20" i="34"/>
  <c r="E20" i="3"/>
  <c r="G16" i="21"/>
  <c r="H16" i="21" s="1"/>
  <c r="G28" i="34" s="1"/>
  <c r="G16" i="70"/>
  <c r="H16" i="70" s="1"/>
  <c r="G20" i="34"/>
  <c r="K20" i="34" s="1"/>
  <c r="G19" i="8"/>
  <c r="G18" i="70"/>
  <c r="H18" i="70" s="1"/>
  <c r="E22" i="3"/>
  <c r="E19" i="8"/>
  <c r="G18" i="21"/>
  <c r="H18" i="21" s="1"/>
  <c r="G27" i="8" s="1"/>
  <c r="E80" i="34"/>
  <c r="G62" i="34" s="1"/>
  <c r="K61" i="34" s="1"/>
  <c r="K61" i="8"/>
  <c r="G62" i="8"/>
  <c r="G65" i="8" s="1"/>
  <c r="E113" i="7"/>
  <c r="G21" i="34" l="1"/>
  <c r="G24" i="34" s="1"/>
  <c r="K19" i="8"/>
  <c r="G20" i="8"/>
  <c r="G23" i="8" s="1"/>
  <c r="G63" i="34"/>
  <c r="G66" i="34" s="1"/>
  <c r="E114" i="7"/>
  <c r="E115" i="7" s="1"/>
  <c r="G17" i="21"/>
  <c r="H17" i="21" s="1"/>
  <c r="E21" i="3"/>
  <c r="E60" i="34"/>
  <c r="G17" i="70"/>
  <c r="H17" i="70" s="1"/>
  <c r="G15" i="57"/>
  <c r="G22" i="57" s="1"/>
  <c r="G15" i="21" l="1"/>
  <c r="G52" i="21" s="1"/>
  <c r="E19" i="3"/>
  <c r="E56" i="3" s="1"/>
  <c r="G94" i="7"/>
  <c r="E53" i="7"/>
  <c r="G15" i="70"/>
  <c r="G52" i="70" s="1"/>
  <c r="G29" i="57"/>
  <c r="E30" i="57" s="1"/>
  <c r="D31" i="57" s="1"/>
  <c r="G70" i="34"/>
  <c r="D24" i="57"/>
  <c r="E23" i="57"/>
  <c r="H15" i="21" l="1"/>
  <c r="G102" i="7" s="1"/>
  <c r="H15" i="70"/>
  <c r="H52" i="70" s="1"/>
  <c r="M65" i="70" s="1"/>
  <c r="J67" i="70" s="1"/>
  <c r="K94" i="7"/>
  <c r="G95" i="7"/>
  <c r="G98" i="7" s="1"/>
  <c r="F33" i="57"/>
  <c r="F81" i="34" s="1"/>
  <c r="M54" i="70"/>
  <c r="M56" i="70" s="1"/>
  <c r="M63" i="70"/>
  <c r="M54" i="21"/>
  <c r="M56" i="21" s="1"/>
  <c r="M63" i="21"/>
  <c r="H52" i="21" l="1"/>
  <c r="M60" i="70"/>
  <c r="M49" i="70"/>
  <c r="J49" i="70" s="1"/>
  <c r="M50" i="70"/>
  <c r="J50" i="70" s="1"/>
  <c r="M50" i="21"/>
  <c r="J50" i="21" s="1"/>
  <c r="M49" i="21"/>
  <c r="J49" i="21" s="1"/>
  <c r="G105" i="7" l="1"/>
  <c r="J108" i="7" s="1"/>
  <c r="G110" i="7" s="1"/>
  <c r="M60" i="21"/>
  <c r="G72" i="8"/>
  <c r="J75" i="8" s="1"/>
  <c r="G77" i="8" s="1"/>
  <c r="G31" i="10"/>
  <c r="J34" i="10" s="1"/>
  <c r="G36" i="10" s="1"/>
  <c r="G73" i="34"/>
  <c r="J76" i="34" s="1"/>
  <c r="G78" i="34" s="1"/>
  <c r="G12" i="71"/>
  <c r="G73" i="10"/>
  <c r="J76" i="10" s="1"/>
  <c r="G78" i="10" s="1"/>
  <c r="G31" i="34"/>
  <c r="J34" i="34" s="1"/>
  <c r="G36" i="34" s="1"/>
  <c r="M65" i="21"/>
  <c r="J67" i="21" s="1"/>
  <c r="G30" i="8"/>
  <c r="J33" i="8" s="1"/>
  <c r="G35" i="8" s="1"/>
</calcChain>
</file>

<file path=xl/sharedStrings.xml><?xml version="1.0" encoding="utf-8"?>
<sst xmlns="http://schemas.openxmlformats.org/spreadsheetml/2006/main" count="1727" uniqueCount="1056">
  <si>
    <t>16. Delinquency rate for actual for 3 decimal and note that rate can be up to 5% over the actual rate.</t>
  </si>
  <si>
    <t>17. Computation to Determine Limit changed the note on bottom to include publish ordinance and attach the published ordinance to the budget.</t>
  </si>
  <si>
    <t>Outstanding Indebtedness, January 1:</t>
  </si>
  <si>
    <t>Attest:_____________________,</t>
  </si>
  <si>
    <t>Funds</t>
  </si>
  <si>
    <t>Budget Authority</t>
  </si>
  <si>
    <t xml:space="preserve">expenditure amounts should reflect the amended </t>
  </si>
  <si>
    <t>expenditure amounts.</t>
  </si>
  <si>
    <t>Neighborhood Revitalization Rebate</t>
  </si>
  <si>
    <t>Miscellaneous</t>
  </si>
  <si>
    <t>Cash Balance Jan 1</t>
  </si>
  <si>
    <t>Employee Benefits</t>
  </si>
  <si>
    <t xml:space="preserve">Employee Benefits </t>
  </si>
  <si>
    <t>28. Added to all budgeted fund pages the budget authority for the actual year, budget violation, and cash violation.</t>
  </si>
  <si>
    <t>29. Added instruction on the addition for item 29.</t>
  </si>
  <si>
    <t>The following were changed to this spreadsheet on 5/08/08</t>
  </si>
  <si>
    <t>Debt Service</t>
  </si>
  <si>
    <t>(Note: Should agree with general sub-totals.)</t>
  </si>
  <si>
    <t>1. Input tab (inputPrYr) added column for the current year expenditures.</t>
  </si>
  <si>
    <t>2. Statement of Indebtedness (debt) added lines to all categories.</t>
  </si>
  <si>
    <t xml:space="preserve">3. All tax levy funds and no tax levy funds fund pages made the following changes: </t>
  </si>
  <si>
    <r>
      <t>3b. Unencumbered Cash for the actual year turn '</t>
    </r>
    <r>
      <rPr>
        <sz val="12"/>
        <color indexed="10"/>
        <rFont val="Times New Roman"/>
        <family val="1"/>
      </rPr>
      <t>Red</t>
    </r>
    <r>
      <rPr>
        <sz val="12"/>
        <rFont val="Times New Roman"/>
        <family val="1"/>
      </rPr>
      <t>' if violation occurs.</t>
    </r>
  </si>
  <si>
    <r>
      <t xml:space="preserve">3c. In statements about violations, if no violation occurs, then a red </t>
    </r>
    <r>
      <rPr>
        <sz val="12"/>
        <color indexed="10"/>
        <rFont val="Times New Roman"/>
        <family val="1"/>
      </rPr>
      <t>'No'</t>
    </r>
    <r>
      <rPr>
        <sz val="12"/>
        <rFont val="Times New Roman"/>
        <family val="1"/>
      </rPr>
      <t xml:space="preserve"> will appear.</t>
    </r>
  </si>
  <si>
    <r>
      <t xml:space="preserve">5. Special Highway and all no tax levy fund pages added to the proposed column unencumbered cash balance block will turn </t>
    </r>
    <r>
      <rPr>
        <sz val="12"/>
        <color indexed="10"/>
        <rFont val="Times New Roman"/>
        <family val="1"/>
      </rPr>
      <t>red</t>
    </r>
    <r>
      <rPr>
        <sz val="12"/>
        <rFont val="Times New Roman"/>
        <family val="1"/>
      </rPr>
      <t xml:space="preserve"> and below will say in red '</t>
    </r>
    <r>
      <rPr>
        <sz val="12"/>
        <color indexed="10"/>
        <rFont val="Times New Roman"/>
        <family val="1"/>
      </rPr>
      <t>Budget Violation</t>
    </r>
    <r>
      <rPr>
        <sz val="12"/>
        <rFont val="Times New Roman"/>
        <family val="1"/>
      </rPr>
      <t>' if the cash balance is negative.</t>
    </r>
  </si>
  <si>
    <t xml:space="preserve">7. Instruction page have changed all reference for Bond &amp; Interest to Debt Service. </t>
  </si>
  <si>
    <t>4. All tax levy fund pages abbreviated the non-appropriated, total expenditures/non-appropriated, and delinquency computation rate.</t>
  </si>
  <si>
    <t>4. Changed foot note to reflect the changes made on 7/1/08 to the above tabs.</t>
  </si>
  <si>
    <t>10. Changed the Bond &amp; Interest tab (B&amp;I) to Debt Service tab (DebtService).</t>
  </si>
  <si>
    <t>11. Changed the revised date on all pages changed.</t>
  </si>
  <si>
    <t xml:space="preserve">Ad Valorem Tax </t>
  </si>
  <si>
    <t>The following were changed to this spreadsheet on 7/01/08</t>
  </si>
  <si>
    <t>Fund Names:</t>
  </si>
  <si>
    <t>Statute</t>
  </si>
  <si>
    <t>General</t>
  </si>
  <si>
    <t>Fund name for all funds with a tax levy:</t>
  </si>
  <si>
    <t>Total</t>
  </si>
  <si>
    <t>Motor Vehicle Tax Estimate</t>
  </si>
  <si>
    <t>Recreational Vehicle Tax Estimate</t>
  </si>
  <si>
    <t>certify that: (1) the hearing mentioned in the attached publication was held;</t>
  </si>
  <si>
    <t>(2) after the Budget Hearing this budget was duly approved and adopted as the</t>
  </si>
  <si>
    <t xml:space="preserve"> </t>
  </si>
  <si>
    <t>Page</t>
  </si>
  <si>
    <t>Table of Contents:</t>
  </si>
  <si>
    <t>No.</t>
  </si>
  <si>
    <t>Statement of Indebtedness</t>
  </si>
  <si>
    <t>Statement of Lease-Purchases</t>
  </si>
  <si>
    <t>Fund</t>
  </si>
  <si>
    <t>K.S.A.</t>
  </si>
  <si>
    <t>Totals</t>
  </si>
  <si>
    <t>x</t>
  </si>
  <si>
    <t>Assisted by:</t>
  </si>
  <si>
    <t>Governing Body</t>
  </si>
  <si>
    <t>County Clerk</t>
  </si>
  <si>
    <t>Amount</t>
  </si>
  <si>
    <t>Computation of Delinquency</t>
  </si>
  <si>
    <t>TOTAL</t>
  </si>
  <si>
    <t>County Treas Motor Vehicle Estimate</t>
  </si>
  <si>
    <t>Motor Vehicle Factor</t>
  </si>
  <si>
    <t>Recreational Vehicle Factor</t>
  </si>
  <si>
    <t>Adopted Budget</t>
  </si>
  <si>
    <t>Ad Valorem Tax</t>
  </si>
  <si>
    <t>Delinquent Tax</t>
  </si>
  <si>
    <t>Motor Vehicle Tax</t>
  </si>
  <si>
    <t>Recreational Vehicle Tax</t>
  </si>
  <si>
    <t>Local Alcoholic Liquor</t>
  </si>
  <si>
    <t>In Lieu of Taxes (IRB)</t>
  </si>
  <si>
    <t>Mineral Production Tax</t>
  </si>
  <si>
    <t>Interest on Idle Funds</t>
  </si>
  <si>
    <t>Total Receipts</t>
  </si>
  <si>
    <t>Resources Available:</t>
  </si>
  <si>
    <t xml:space="preserve">Page No. </t>
  </si>
  <si>
    <t>Expenditures:</t>
  </si>
  <si>
    <t xml:space="preserve">  Contractual</t>
  </si>
  <si>
    <t xml:space="preserve">  Commodities</t>
  </si>
  <si>
    <t xml:space="preserve">  Capital Outlay</t>
  </si>
  <si>
    <t>Total Expenditures</t>
  </si>
  <si>
    <t>Tax Required</t>
  </si>
  <si>
    <t>%</t>
  </si>
  <si>
    <t>Page No.</t>
  </si>
  <si>
    <t xml:space="preserve">  Salaries</t>
  </si>
  <si>
    <t xml:space="preserve">The governing body of </t>
  </si>
  <si>
    <t>Actual</t>
  </si>
  <si>
    <t xml:space="preserve">     FUND</t>
  </si>
  <si>
    <t xml:space="preserve"> Expenditures</t>
  </si>
  <si>
    <t>Less: Transfers</t>
  </si>
  <si>
    <t>Net Expenditure</t>
  </si>
  <si>
    <t>Total Tax Levied</t>
  </si>
  <si>
    <t xml:space="preserve">Assessed </t>
  </si>
  <si>
    <t>Valuation</t>
  </si>
  <si>
    <t>Outstanding Indebtedness,</t>
  </si>
  <si>
    <t xml:space="preserve">  January 1,</t>
  </si>
  <si>
    <t>G.O. Bonds</t>
  </si>
  <si>
    <t>Revenue Bonds</t>
  </si>
  <si>
    <t xml:space="preserve">     Total</t>
  </si>
  <si>
    <t xml:space="preserve">  *Tax rates are expressed in mills</t>
  </si>
  <si>
    <t>Date</t>
  </si>
  <si>
    <t xml:space="preserve">   Amount Due</t>
  </si>
  <si>
    <t>of</t>
  </si>
  <si>
    <t>Rate</t>
  </si>
  <si>
    <t xml:space="preserve">  Date Due</t>
  </si>
  <si>
    <t>Issue</t>
  </si>
  <si>
    <t>Issued</t>
  </si>
  <si>
    <t>General Obligation:</t>
  </si>
  <si>
    <t>Total G.O. Bonds</t>
  </si>
  <si>
    <t>Revenue Bonds:</t>
  </si>
  <si>
    <t>Total Revenue Bonds</t>
  </si>
  <si>
    <t>Other:</t>
  </si>
  <si>
    <t>Total Indebtedness</t>
  </si>
  <si>
    <t>Term of</t>
  </si>
  <si>
    <t>Interest</t>
  </si>
  <si>
    <t>Other</t>
  </si>
  <si>
    <t>Principal</t>
  </si>
  <si>
    <t>Payments</t>
  </si>
  <si>
    <t xml:space="preserve">  Contract</t>
  </si>
  <si>
    <t>Contract</t>
  </si>
  <si>
    <t>Financed</t>
  </si>
  <si>
    <t>Due</t>
  </si>
  <si>
    <t>(Months)</t>
  </si>
  <si>
    <t>CERTIFICATE</t>
  </si>
  <si>
    <t>STATEMENT OF CONDITIONAL LEASE-PURCHASE AND CERTIFICATE OF PARTICIPATION*</t>
  </si>
  <si>
    <t>NOTICE OF BUDGET HEARING</t>
  </si>
  <si>
    <t>BUDGET SUMMARY</t>
  </si>
  <si>
    <t>FUND PAGE - GENERAL</t>
  </si>
  <si>
    <t>FUND PAGE FOR FUNDS WITH A TAX LEVY</t>
  </si>
  <si>
    <t>FUND PAGE FOR FUNDS WITH NO TAX LEVY</t>
  </si>
  <si>
    <t>STATEMENT OF INDEBTEDNESS</t>
  </si>
  <si>
    <t>16/20M Veh</t>
  </si>
  <si>
    <t>MVT</t>
  </si>
  <si>
    <t>RVT</t>
  </si>
  <si>
    <t>16/20M Vehicle Factor</t>
  </si>
  <si>
    <t>16/20M Vehicle Tax</t>
  </si>
  <si>
    <t>Gross Earning (Intangible) Tax</t>
  </si>
  <si>
    <t>Special Highway</t>
  </si>
  <si>
    <t>State of Kansas Gas Tax</t>
  </si>
  <si>
    <t xml:space="preserve">  Real Estate</t>
  </si>
  <si>
    <t xml:space="preserve">  State Assessed</t>
  </si>
  <si>
    <t xml:space="preserve">  New Improvements</t>
  </si>
  <si>
    <t>Unencumbered Cash Balance Jan 1</t>
  </si>
  <si>
    <t>Unencumbered Cash Balance Dec 31</t>
  </si>
  <si>
    <t>Receipts:</t>
  </si>
  <si>
    <t>12-101a</t>
  </si>
  <si>
    <t>Schedule of Transfers</t>
  </si>
  <si>
    <t>(Beginning Principal)</t>
  </si>
  <si>
    <t>Estimated Tax Rate is subject to change depending on the final assessed valuation.</t>
  </si>
  <si>
    <t>Lease Purchase Principal</t>
  </si>
  <si>
    <t>County Clerk's Use Only</t>
  </si>
  <si>
    <t>Current</t>
  </si>
  <si>
    <t>Proposed</t>
  </si>
  <si>
    <t>Address:</t>
  </si>
  <si>
    <t>NON-BUDGETED FUNDS (A)</t>
  </si>
  <si>
    <t>(1) Fund Name:</t>
  </si>
  <si>
    <t>(2) Fund Name:</t>
  </si>
  <si>
    <t>(3) Fund Name:</t>
  </si>
  <si>
    <t>(4) Fund Name:</t>
  </si>
  <si>
    <t>(5) Fund Name:</t>
  </si>
  <si>
    <t xml:space="preserve">Unencumbered </t>
  </si>
  <si>
    <t>Cash Balance Dec 31</t>
  </si>
  <si>
    <t>NON-BUDGETED FUNDS (B)</t>
  </si>
  <si>
    <t>Territory Added: (Current Year Only)</t>
  </si>
  <si>
    <t>Neighborhood Revitalization</t>
  </si>
  <si>
    <t>16\20 M Vehicle Tax</t>
  </si>
  <si>
    <t>LAVTR</t>
  </si>
  <si>
    <t>City and County Revenue Sharing</t>
  </si>
  <si>
    <t xml:space="preserve">   </t>
  </si>
  <si>
    <t>10-113</t>
  </si>
  <si>
    <t xml:space="preserve">  G.O. Bonds</t>
  </si>
  <si>
    <t xml:space="preserve">  Revenue Bonds</t>
  </si>
  <si>
    <t xml:space="preserve">  Other</t>
  </si>
  <si>
    <t xml:space="preserve">  Lease Purchase Principal</t>
  </si>
  <si>
    <t>Other (non-tax levy) fund names:</t>
  </si>
  <si>
    <t xml:space="preserve">City Official Title: </t>
  </si>
  <si>
    <t>Salaries &amp; Wages</t>
  </si>
  <si>
    <t>County Transfers Gas</t>
  </si>
  <si>
    <t>Ad Valorem</t>
  </si>
  <si>
    <t>Tax</t>
  </si>
  <si>
    <t>Beginning Amount</t>
  </si>
  <si>
    <t xml:space="preserve">of </t>
  </si>
  <si>
    <t>Outstanding</t>
  </si>
  <si>
    <t>Retirement</t>
  </si>
  <si>
    <t xml:space="preserve">Total Other </t>
  </si>
  <si>
    <t>Transfers</t>
  </si>
  <si>
    <t>Amount for</t>
  </si>
  <si>
    <t>Authorized by</t>
  </si>
  <si>
    <t>From:</t>
  </si>
  <si>
    <t>To:</t>
  </si>
  <si>
    <t xml:space="preserve"> Statute</t>
  </si>
  <si>
    <t>Adjustments</t>
  </si>
  <si>
    <t>Adjusted Totals</t>
  </si>
  <si>
    <t>Budgeted Fund</t>
  </si>
  <si>
    <t>Non-Budgeted Funds-B</t>
  </si>
  <si>
    <t>Non-Budgeted Funds-A</t>
  </si>
  <si>
    <t>Single Non Tax Levy:</t>
  </si>
  <si>
    <t>Non-Budgeted (A):</t>
  </si>
  <si>
    <t>Non-Budgeted (B):</t>
  </si>
  <si>
    <t>Non-Budgeted (C):</t>
  </si>
  <si>
    <t>Non-Budgeted (D):</t>
  </si>
  <si>
    <t>The following were changed to this spreadsheet on 8/06/2007</t>
  </si>
  <si>
    <t>2. All pages have a revision date.</t>
  </si>
  <si>
    <t xml:space="preserve">3. Hard coded the Bond &amp; Interest on Certificate and Summary pages. </t>
  </si>
  <si>
    <t>5. Computation to Determine Limit now has the debts amounts link within the spreadsheet.</t>
  </si>
  <si>
    <t>6. Schedule of Transfers have the transfers totaled and link to the budget summary page.</t>
  </si>
  <si>
    <t>8. Now can key in the official title on the budget summary page.</t>
  </si>
  <si>
    <t xml:space="preserve">9. Now have the indebtedness prior year added to the input page and link with the budget summary page. </t>
  </si>
  <si>
    <t>10. Added three input spaces for League's highway estimates and link to Special Highway page. Included a note about usage to County Road System.</t>
  </si>
  <si>
    <t>12. Changed the Budget Summary Heading to include Actual/Estimate/Proposed with the budget year.</t>
  </si>
  <si>
    <t>13. Changed the delinquency rate formula for all levy funds.</t>
  </si>
  <si>
    <t>15. Using the actual ad valorem rates from the Clerk's information versus from the Certificate page.</t>
  </si>
  <si>
    <r>
      <t>***</t>
    </r>
    <r>
      <rPr>
        <b/>
        <u/>
        <sz val="12"/>
        <rFont val="Times New Roman"/>
        <family val="1"/>
      </rPr>
      <t>Note</t>
    </r>
    <r>
      <rPr>
        <sz val="12"/>
        <rFont val="Times New Roman"/>
        <family val="1"/>
      </rPr>
      <t xml:space="preserve">:  Only used when a portion of the County monies are distributed to the Cities under the provisions of                                              </t>
    </r>
  </si>
  <si>
    <t xml:space="preserve">        K.S.A. 79-3425c</t>
  </si>
  <si>
    <t>18. Add total section for Schedule of Transfers and linked the total to the Budget Summary page.</t>
  </si>
  <si>
    <t>19. Added column to show when debt retired on the Indebtedness page.</t>
  </si>
  <si>
    <t>20. Special Highway page added line for County Transfer Gas and linked adjustment for prior and county transfer gas from the input page (inputoth).</t>
  </si>
  <si>
    <t xml:space="preserve">The input for the following comes directly from </t>
  </si>
  <si>
    <t>**</t>
  </si>
  <si>
    <t>**Note: These two block figures should agree.</t>
  </si>
  <si>
    <t>7a. Added instruction line 4a to explain about no-fund warrants and temporary notes can be added to the debt service on the Computation to Determine Levy Limit.</t>
  </si>
  <si>
    <t>7b. Added instruction line 9d to explain more about the debt service fund page can included for debts.</t>
  </si>
  <si>
    <t xml:space="preserve">4.  All dates on the spreadsheet are controlled from input on the input Prior Year page. </t>
  </si>
  <si>
    <t>14. Changed the Certificate page so the county name flows instead of having unneeded spaces.</t>
  </si>
  <si>
    <t>The following were changed to this spreadsheet on 2/23/09</t>
  </si>
  <si>
    <t>Valuation Factor:</t>
  </si>
  <si>
    <t>Neighborhood Revitalization Subj to Rebate:</t>
  </si>
  <si>
    <t>Neighborhood Revitalization factor:</t>
  </si>
  <si>
    <t>Non-Budgeted Funds - Cities</t>
  </si>
  <si>
    <r>
      <t xml:space="preserve">K.S.A. </t>
    </r>
    <r>
      <rPr>
        <b/>
        <sz val="12"/>
        <color indexed="8"/>
        <rFont val="Times New Roman"/>
        <family val="1"/>
      </rPr>
      <t>12-110d.</t>
    </r>
    <r>
      <rPr>
        <sz val="12"/>
        <color indexed="8"/>
        <rFont val="Times New Roman"/>
        <family val="1"/>
      </rPr>
      <t xml:space="preserve">  </t>
    </r>
    <r>
      <rPr>
        <b/>
        <sz val="12"/>
        <color indexed="8"/>
        <rFont val="Times New Roman"/>
        <family val="1"/>
      </rPr>
      <t xml:space="preserve">Special ambulance or emergency medical service equipment fund. </t>
    </r>
    <r>
      <rPr>
        <sz val="12"/>
        <color indexed="8"/>
        <rFont val="Times New Roman"/>
        <family val="1"/>
      </rPr>
      <t xml:space="preserve"> The governing body may create a special reserve fund for replacement of ambulance or emergency medical service equipment.</t>
    </r>
  </si>
  <si>
    <r>
      <t xml:space="preserve">K.S.A. </t>
    </r>
    <r>
      <rPr>
        <b/>
        <sz val="12"/>
        <color indexed="8"/>
        <rFont val="Times New Roman"/>
        <family val="1"/>
      </rPr>
      <t>12-1,117.</t>
    </r>
    <r>
      <rPr>
        <sz val="12"/>
        <color indexed="8"/>
        <rFont val="Times New Roman"/>
        <family val="1"/>
      </rPr>
      <t xml:space="preserve">  E</t>
    </r>
    <r>
      <rPr>
        <b/>
        <sz val="12"/>
        <color indexed="8"/>
        <rFont val="Times New Roman"/>
        <family val="1"/>
      </rPr>
      <t>quipment reserve fund.</t>
    </r>
    <r>
      <rPr>
        <sz val="12"/>
        <color indexed="8"/>
        <rFont val="Times New Roman"/>
        <family val="1"/>
      </rPr>
      <t xml:space="preserve">  Cities may create  an equipment reserve fund to finance the acquisition of equipment.</t>
    </r>
  </si>
  <si>
    <r>
      <t xml:space="preserve">K.S.A. </t>
    </r>
    <r>
      <rPr>
        <b/>
        <sz val="12"/>
        <color indexed="8"/>
        <rFont val="Times New Roman"/>
        <family val="1"/>
      </rPr>
      <t>12-1,118.</t>
    </r>
    <r>
      <rPr>
        <sz val="12"/>
        <color indexed="8"/>
        <rFont val="Times New Roman"/>
        <family val="1"/>
      </rPr>
      <t xml:space="preserve">  </t>
    </r>
    <r>
      <rPr>
        <b/>
        <sz val="12"/>
        <color indexed="8"/>
        <rFont val="Times New Roman"/>
        <family val="1"/>
      </rPr>
      <t>Capital improvement fund.</t>
    </r>
    <r>
      <rPr>
        <sz val="12"/>
        <color indexed="8"/>
        <rFont val="Times New Roman"/>
        <family val="1"/>
      </rPr>
      <t xml:space="preserve">  Cities with an approved a multi-year capital improvement plan may establish a capital improvements fund.</t>
    </r>
  </si>
  <si>
    <r>
      <t xml:space="preserve">K.S.A. </t>
    </r>
    <r>
      <rPr>
        <b/>
        <sz val="12"/>
        <color indexed="8"/>
        <rFont val="Times New Roman"/>
        <family val="1"/>
      </rPr>
      <t>12-631p</t>
    </r>
    <r>
      <rPr>
        <sz val="12"/>
        <color indexed="8"/>
        <rFont val="Times New Roman"/>
        <family val="1"/>
      </rPr>
      <t xml:space="preserve">.  </t>
    </r>
    <r>
      <rPr>
        <b/>
        <sz val="12"/>
        <color indexed="8"/>
        <rFont val="Times New Roman"/>
        <family val="1"/>
      </rPr>
      <t>Sewerage system reserve fund.</t>
    </r>
    <r>
      <rPr>
        <sz val="12"/>
        <color indexed="8"/>
        <rFont val="Times New Roman"/>
        <family val="1"/>
      </rPr>
      <t xml:space="preserve">  The governing body may create a sewer system reserve fund for the future maintenance and operation of its system and for the construction of improvements and expansions to such system.</t>
    </r>
  </si>
  <si>
    <r>
      <t xml:space="preserve">K.S.A. </t>
    </r>
    <r>
      <rPr>
        <b/>
        <sz val="12"/>
        <color indexed="8"/>
        <rFont val="Times New Roman"/>
        <family val="1"/>
      </rPr>
      <t>12-6a13.  Special improvement funds.</t>
    </r>
    <r>
      <rPr>
        <sz val="12"/>
        <color indexed="8"/>
        <rFont val="Times New Roman"/>
        <family val="1"/>
      </rPr>
      <t xml:space="preserve">  Authorizes the creation of a special improvement fund to pay a portion of the debt service on bonds issued, planning costs, and the initial cost of improvements until temporary notes or bonds have been issued and sold.</t>
    </r>
  </si>
  <si>
    <r>
      <t xml:space="preserve">K.S.A. </t>
    </r>
    <r>
      <rPr>
        <b/>
        <sz val="12"/>
        <color indexed="8"/>
        <rFont val="Times New Roman"/>
        <family val="1"/>
      </rPr>
      <t>12-6a16.</t>
    </r>
    <r>
      <rPr>
        <sz val="12"/>
        <color indexed="8"/>
        <rFont val="Times New Roman"/>
        <family val="1"/>
      </rPr>
      <t xml:space="preserve">  </t>
    </r>
    <r>
      <rPr>
        <b/>
        <sz val="12"/>
        <color indexed="8"/>
        <rFont val="Times New Roman"/>
        <family val="1"/>
      </rPr>
      <t>Separate special improvement funds.</t>
    </r>
    <r>
      <rPr>
        <sz val="12"/>
        <color indexed="8"/>
        <rFont val="Times New Roman"/>
        <family val="1"/>
      </rPr>
      <t xml:space="preserve">  Provides that separate, suitably named special improvement funds are to be created for each improvement project or combination of improvement projects.</t>
    </r>
  </si>
  <si>
    <r>
      <t xml:space="preserve">K.S.A. </t>
    </r>
    <r>
      <rPr>
        <b/>
        <sz val="12"/>
        <color indexed="8"/>
        <rFont val="Times New Roman"/>
        <family val="1"/>
      </rPr>
      <t>12-1663.</t>
    </r>
    <r>
      <rPr>
        <sz val="12"/>
        <color indexed="8"/>
        <rFont val="Times New Roman"/>
        <family val="1"/>
      </rPr>
      <t xml:space="preserve">  </t>
    </r>
    <r>
      <rPr>
        <b/>
        <sz val="12"/>
        <color indexed="8"/>
        <rFont val="Times New Roman"/>
        <family val="1"/>
      </rPr>
      <t>Federal grants (e.g. FEMA).</t>
    </r>
    <r>
      <rPr>
        <sz val="12"/>
        <color indexed="8"/>
        <rFont val="Times New Roman"/>
        <family val="1"/>
      </rPr>
      <t xml:space="preserve">  Federal aid intended to be used alone or with funds of the public agency may be expended without regard to budget limitations and over, above or outside the budget.</t>
    </r>
  </si>
  <si>
    <r>
      <t xml:space="preserve">K.S.A. </t>
    </r>
    <r>
      <rPr>
        <b/>
        <sz val="12"/>
        <color indexed="8"/>
        <rFont val="Times New Roman"/>
        <family val="1"/>
      </rPr>
      <t>12-1674.</t>
    </r>
    <r>
      <rPr>
        <sz val="12"/>
        <color indexed="8"/>
        <rFont val="Times New Roman"/>
        <family val="1"/>
      </rPr>
      <t xml:space="preserve">  </t>
    </r>
    <r>
      <rPr>
        <b/>
        <sz val="12"/>
        <color indexed="8"/>
        <rFont val="Times New Roman"/>
        <family val="1"/>
      </rPr>
      <t>Special services fund.</t>
    </r>
    <r>
      <rPr>
        <sz val="12"/>
        <color indexed="8"/>
        <rFont val="Times New Roman"/>
        <family val="1"/>
      </rPr>
      <t xml:space="preserve">  Cities located in counties designated as urban areas may create a special services fund to be used to pay the initial costs of improvements and for work performed as a result of failure of persons to perform duties prescribed by law or ordinance.</t>
    </r>
  </si>
  <si>
    <r>
      <t xml:space="preserve">K.S.A. </t>
    </r>
    <r>
      <rPr>
        <b/>
        <sz val="12"/>
        <color indexed="8"/>
        <rFont val="Times New Roman"/>
        <family val="1"/>
      </rPr>
      <t>12-16,111.</t>
    </r>
    <r>
      <rPr>
        <sz val="12"/>
        <color indexed="8"/>
        <rFont val="Times New Roman"/>
        <family val="1"/>
      </rPr>
      <t xml:space="preserve">  </t>
    </r>
    <r>
      <rPr>
        <b/>
        <sz val="12"/>
        <color indexed="8"/>
        <rFont val="Times New Roman"/>
        <family val="1"/>
      </rPr>
      <t>State loans and grants.</t>
    </r>
    <r>
      <rPr>
        <sz val="12"/>
        <color indexed="8"/>
        <rFont val="Times New Roman"/>
        <family val="1"/>
      </rPr>
      <t xml:space="preserve">  State loans or grants may be expended without regard to budget limitations and over, above or outside the budget.</t>
    </r>
  </si>
  <si>
    <r>
      <t xml:space="preserve">K.S.A. </t>
    </r>
    <r>
      <rPr>
        <b/>
        <sz val="12"/>
        <color indexed="8"/>
        <rFont val="Times New Roman"/>
        <family val="1"/>
      </rPr>
      <t>12-17,118.</t>
    </r>
    <r>
      <rPr>
        <sz val="12"/>
        <color indexed="8"/>
        <rFont val="Times New Roman"/>
        <family val="1"/>
      </rPr>
      <t xml:space="preserve">  N</t>
    </r>
    <r>
      <rPr>
        <b/>
        <sz val="12"/>
        <color indexed="8"/>
        <rFont val="Times New Roman"/>
        <family val="1"/>
      </rPr>
      <t>eighborhood revitalization fund.</t>
    </r>
    <r>
      <rPr>
        <sz val="12"/>
        <color indexed="8"/>
        <rFont val="Times New Roman"/>
        <family val="1"/>
      </rPr>
      <t xml:space="preserve">  After adoption of a neighborhood revitalization plan the governing body shall create a neighborhood revitalization fund.</t>
    </r>
  </si>
  <si>
    <r>
      <t xml:space="preserve">K.S.A. </t>
    </r>
    <r>
      <rPr>
        <b/>
        <sz val="12"/>
        <color indexed="8"/>
        <rFont val="Times New Roman"/>
        <family val="1"/>
      </rPr>
      <t xml:space="preserve">12-2615.  Risk management reserve fund. </t>
    </r>
    <r>
      <rPr>
        <sz val="12"/>
        <color indexed="8"/>
        <rFont val="Times New Roman"/>
        <family val="1"/>
      </rPr>
      <t xml:space="preserve"> The governing body of any city or county may pay costs relating to any uninsured loss from a risk management reserve fund.</t>
    </r>
  </si>
  <si>
    <r>
      <t xml:space="preserve">K.S.A. </t>
    </r>
    <r>
      <rPr>
        <b/>
        <sz val="12"/>
        <color indexed="8"/>
        <rFont val="Times New Roman"/>
        <family val="1"/>
      </rPr>
      <t>13-10,140.</t>
    </r>
    <r>
      <rPr>
        <sz val="12"/>
        <color indexed="8"/>
        <rFont val="Times New Roman"/>
        <family val="1"/>
      </rPr>
      <t xml:space="preserve">  </t>
    </r>
    <r>
      <rPr>
        <b/>
        <sz val="12"/>
        <color indexed="8"/>
        <rFont val="Times New Roman"/>
        <family val="1"/>
      </rPr>
      <t>Special improvement fund (commission form of government; population more than 150,000 and less than 200,000).</t>
    </r>
    <r>
      <rPr>
        <sz val="12"/>
        <color indexed="8"/>
        <rFont val="Times New Roman"/>
        <family val="1"/>
      </rPr>
      <t xml:space="preserve">  Authorizes certain cities operating under the commission form of government to a special improvement fund to pay the preliminary cost of any improvement to be financed by special assessments or general obligation bonds.</t>
    </r>
  </si>
  <si>
    <r>
      <t xml:space="preserve">K.S.A. </t>
    </r>
    <r>
      <rPr>
        <b/>
        <sz val="12"/>
        <color indexed="8"/>
        <rFont val="Times New Roman"/>
        <family val="1"/>
      </rPr>
      <t>13-14b12.</t>
    </r>
    <r>
      <rPr>
        <sz val="12"/>
        <color indexed="8"/>
        <rFont val="Times New Roman"/>
        <family val="1"/>
      </rPr>
      <t xml:space="preserve">  </t>
    </r>
    <r>
      <rPr>
        <b/>
        <sz val="12"/>
        <color indexed="8"/>
        <rFont val="Times New Roman"/>
        <family val="1"/>
      </rPr>
      <t>Hospital special improvement fund.</t>
    </r>
    <r>
      <rPr>
        <sz val="12"/>
        <color indexed="8"/>
        <rFont val="Times New Roman"/>
        <family val="1"/>
      </rPr>
      <t xml:space="preserve">  Provides for creation of a special improvement fund for the purpose of equipping, operating, maintaining and improving such hospital and to pay a portion of the debt service on bonds.</t>
    </r>
  </si>
  <si>
    <r>
      <t xml:space="preserve">K.S.A. </t>
    </r>
    <r>
      <rPr>
        <b/>
        <sz val="12"/>
        <color indexed="8"/>
        <rFont val="Times New Roman"/>
        <family val="1"/>
      </rPr>
      <t>14-2004.</t>
    </r>
    <r>
      <rPr>
        <sz val="12"/>
        <color indexed="8"/>
        <rFont val="Times New Roman"/>
        <family val="1"/>
      </rPr>
      <t xml:space="preserve">  P</t>
    </r>
    <r>
      <rPr>
        <b/>
        <sz val="12"/>
        <color indexed="8"/>
        <rFont val="Times New Roman"/>
        <family val="1"/>
      </rPr>
      <t>ark land acquisition fund (commission-manager cities).</t>
    </r>
    <r>
      <rPr>
        <sz val="12"/>
        <color indexed="8"/>
        <rFont val="Times New Roman"/>
        <family val="1"/>
      </rPr>
      <t xml:space="preserve">  Authorizes certain cities operating under the commission-manager form of government to establish a park land acquisition fund.</t>
    </r>
  </si>
  <si>
    <r>
      <t xml:space="preserve">K.S.A. </t>
    </r>
    <r>
      <rPr>
        <b/>
        <sz val="12"/>
        <color indexed="8"/>
        <rFont val="Times New Roman"/>
        <family val="1"/>
      </rPr>
      <t>44-505f.</t>
    </r>
    <r>
      <rPr>
        <sz val="12"/>
        <color indexed="8"/>
        <rFont val="Times New Roman"/>
        <family val="1"/>
      </rPr>
      <t xml:space="preserve">  </t>
    </r>
    <r>
      <rPr>
        <b/>
        <sz val="12"/>
        <color indexed="8"/>
        <rFont val="Times New Roman"/>
        <family val="1"/>
      </rPr>
      <t>Workers’ compensation reserve fund.</t>
    </r>
    <r>
      <rPr>
        <sz val="12"/>
        <color indexed="8"/>
        <rFont val="Times New Roman"/>
        <family val="1"/>
      </rPr>
      <t xml:space="preserve">  Provides for the creation of a reserve fund for the payment of workmen's compensation claims, judgments, and expenses.</t>
    </r>
  </si>
  <si>
    <r>
      <t xml:space="preserve">K.S.A. </t>
    </r>
    <r>
      <rPr>
        <b/>
        <sz val="12"/>
        <color indexed="8"/>
        <rFont val="Times New Roman"/>
        <family val="1"/>
      </rPr>
      <t>68-141g.</t>
    </r>
    <r>
      <rPr>
        <sz val="12"/>
        <color indexed="8"/>
        <rFont val="Times New Roman"/>
        <family val="1"/>
      </rPr>
      <t xml:space="preserve">  </t>
    </r>
    <r>
      <rPr>
        <b/>
        <sz val="12"/>
        <color indexed="8"/>
        <rFont val="Times New Roman"/>
        <family val="1"/>
      </rPr>
      <t>Special road, bridge or street building machinery, equipment and bridge building fund.</t>
    </r>
    <r>
      <rPr>
        <sz val="12"/>
        <color indexed="8"/>
        <rFont val="Times New Roman"/>
        <family val="1"/>
      </rPr>
      <t xml:space="preserve">  Authorizes a special road, bridge or street building machinery, equipment and bridge building fund and the annual transfer of not to exceed 25% of the budgeted amount of the corresponding operating fund.</t>
    </r>
  </si>
  <si>
    <r>
      <t xml:space="preserve">K.S.A. </t>
    </r>
    <r>
      <rPr>
        <b/>
        <sz val="12"/>
        <color indexed="8"/>
        <rFont val="Times New Roman"/>
        <family val="1"/>
      </rPr>
      <t>68-590.</t>
    </r>
    <r>
      <rPr>
        <sz val="12"/>
        <color indexed="8"/>
        <rFont val="Times New Roman"/>
        <family val="1"/>
      </rPr>
      <t xml:space="preserve">   </t>
    </r>
    <r>
      <rPr>
        <b/>
        <sz val="12"/>
        <color indexed="8"/>
        <rFont val="Times New Roman"/>
        <family val="1"/>
      </rPr>
      <t>Special highway improvement fund.</t>
    </r>
    <r>
      <rPr>
        <sz val="12"/>
        <color indexed="8"/>
        <rFont val="Times New Roman"/>
        <family val="1"/>
      </rPr>
      <t xml:space="preserve">  Cities and counties may create a special highway improvement fund and transfer to it annually up to 25% of the fund for roads, bridges, highways, or streets.</t>
    </r>
  </si>
  <si>
    <r>
      <t xml:space="preserve">K.S.A. </t>
    </r>
    <r>
      <rPr>
        <b/>
        <sz val="12"/>
        <color indexed="8"/>
        <rFont val="Times New Roman"/>
        <family val="1"/>
      </rPr>
      <t>75-6110.</t>
    </r>
    <r>
      <rPr>
        <sz val="12"/>
        <color indexed="8"/>
        <rFont val="Times New Roman"/>
        <family val="1"/>
      </rPr>
      <t xml:space="preserve">  </t>
    </r>
    <r>
      <rPr>
        <b/>
        <sz val="12"/>
        <color indexed="8"/>
        <rFont val="Times New Roman"/>
        <family val="1"/>
      </rPr>
      <t>Special liability expense fund.</t>
    </r>
    <r>
      <rPr>
        <sz val="12"/>
        <color indexed="8"/>
        <rFont val="Times New Roman"/>
        <family val="1"/>
      </rPr>
      <t xml:space="preserve">  Authorizes the creation of special liability expense fund for payment of costs and claims against the municipality or its employees.</t>
    </r>
  </si>
  <si>
    <r>
      <t xml:space="preserve">K.S.A. </t>
    </r>
    <r>
      <rPr>
        <b/>
        <sz val="12"/>
        <color indexed="8"/>
        <rFont val="Times New Roman"/>
        <family val="1"/>
      </rPr>
      <t>79-1808.</t>
    </r>
    <r>
      <rPr>
        <sz val="12"/>
        <color indexed="8"/>
        <rFont val="Times New Roman"/>
        <family val="1"/>
      </rPr>
      <t xml:space="preserve">  </t>
    </r>
    <r>
      <rPr>
        <b/>
        <sz val="12"/>
        <color indexed="8"/>
        <rFont val="Times New Roman"/>
        <family val="1"/>
      </rPr>
      <t>Special assessment fund.</t>
    </r>
    <r>
      <rPr>
        <sz val="12"/>
        <color indexed="8"/>
        <rFont val="Times New Roman"/>
        <family val="1"/>
      </rPr>
      <t xml:space="preserve">  Proceeds of tax levy to raise funds to pay special assessments against municipality-owned property and, for cities and counties, to pay debt service, shall be placed in a special assessment fund.</t>
    </r>
  </si>
  <si>
    <r>
      <t xml:space="preserve">K.S.A. </t>
    </r>
    <r>
      <rPr>
        <b/>
        <sz val="12"/>
        <color indexed="8"/>
        <rFont val="Times New Roman"/>
        <family val="1"/>
      </rPr>
      <t>79-1950b.</t>
    </r>
    <r>
      <rPr>
        <sz val="12"/>
        <color indexed="8"/>
        <rFont val="Times New Roman"/>
        <family val="1"/>
      </rPr>
      <t xml:space="preserve">  </t>
    </r>
    <r>
      <rPr>
        <b/>
        <sz val="12"/>
        <color indexed="8"/>
        <rFont val="Times New Roman"/>
        <family val="1"/>
      </rPr>
      <t>Special improvement fund (cities of more than 200,000).</t>
    </r>
    <r>
      <rPr>
        <sz val="12"/>
        <color indexed="8"/>
        <rFont val="Times New Roman"/>
        <family val="1"/>
      </rPr>
      <t xml:space="preserve">  Certain cities of the first class are authorized to create a special improvement fund from which preliminary costs associated with such improvements may be paid.</t>
    </r>
  </si>
  <si>
    <r>
      <t xml:space="preserve">K.S.A. </t>
    </r>
    <r>
      <rPr>
        <b/>
        <sz val="12"/>
        <color indexed="8"/>
        <rFont val="Times New Roman"/>
        <family val="1"/>
      </rPr>
      <t>79-2925.</t>
    </r>
    <r>
      <rPr>
        <sz val="12"/>
        <color indexed="8"/>
        <rFont val="Times New Roman"/>
        <family val="1"/>
      </rPr>
      <t xml:space="preserve">   </t>
    </r>
    <r>
      <rPr>
        <b/>
        <sz val="12"/>
        <color indexed="8"/>
        <rFont val="Times New Roman"/>
        <family val="1"/>
      </rPr>
      <t>Budgets exempt from the state budget law.</t>
    </r>
    <r>
      <rPr>
        <sz val="12"/>
        <color indexed="8"/>
        <rFont val="Times New Roman"/>
        <family val="1"/>
      </rPr>
      <t xml:space="preserve">  Cities may create non-budgeted funds for any gifts or bequests, a revolving fund for the operation of a municipal airport, and for repair, replacement, or addition to recreation facilities.</t>
    </r>
  </si>
  <si>
    <t>Transfers - Cities</t>
  </si>
  <si>
    <r>
      <t>K.S.A. 10-117a</t>
    </r>
    <r>
      <rPr>
        <sz val="12"/>
        <rFont val="Times New Roman"/>
        <family val="1"/>
      </rPr>
      <t xml:space="preserve">.  </t>
    </r>
    <r>
      <rPr>
        <b/>
        <sz val="12"/>
        <rFont val="Times New Roman"/>
        <family val="1"/>
      </rPr>
      <t>Transfer from debt service fund.</t>
    </r>
    <r>
      <rPr>
        <sz val="12"/>
        <rFont val="Times New Roman"/>
        <family val="1"/>
      </rPr>
      <t xml:space="preserve">  W</t>
    </r>
    <r>
      <rPr>
        <sz val="12"/>
        <color indexed="8"/>
        <rFont val="Times New Roman"/>
        <family val="1"/>
      </rPr>
      <t>henever all bond issues have been completely retired the governing body may transfer to the general fund the unexpended balance in the debt service fund.</t>
    </r>
  </si>
  <si>
    <r>
      <t xml:space="preserve">K.S.A. </t>
    </r>
    <r>
      <rPr>
        <b/>
        <sz val="12"/>
        <color indexed="8"/>
        <rFont val="Times New Roman"/>
        <family val="1"/>
      </rPr>
      <t xml:space="preserve">12-110d.  Transfer to special ambulance or emergency medical service equipment fund. </t>
    </r>
    <r>
      <rPr>
        <sz val="12"/>
        <color indexed="8"/>
        <rFont val="Times New Roman"/>
        <family val="1"/>
      </rPr>
      <t xml:space="preserve"> May transfer annually any funds received from a tax levy specifically authorized to be made for ambulance or emergency medical service, to a special reserve fund for replacement of ambulance or emergency medical service equipment.</t>
    </r>
  </si>
  <si>
    <r>
      <t>K.S.A. 12-1,117</t>
    </r>
    <r>
      <rPr>
        <sz val="12"/>
        <rFont val="Times New Roman"/>
        <family val="1"/>
      </rPr>
      <t>.</t>
    </r>
    <r>
      <rPr>
        <b/>
        <sz val="12"/>
        <rFont val="Times New Roman"/>
        <family val="1"/>
      </rPr>
      <t xml:space="preserve">  Transfer to equipment reserve fund.</t>
    </r>
    <r>
      <rPr>
        <sz val="12"/>
        <rFont val="Times New Roman"/>
        <family val="1"/>
      </rPr>
      <t xml:space="preserve">  T</t>
    </r>
    <r>
      <rPr>
        <sz val="12"/>
        <color indexed="8"/>
        <rFont val="Times New Roman"/>
        <family val="1"/>
      </rPr>
      <t xml:space="preserve">o finance new and replacement equipment moneys may be budgeted and transferred to an equipment reserve fund from any source which may be lawfully utilized for such purposes. </t>
    </r>
  </si>
  <si>
    <r>
      <t>K.S.A. 12-1,118</t>
    </r>
    <r>
      <rPr>
        <sz val="12"/>
        <rFont val="Times New Roman"/>
        <family val="1"/>
      </rPr>
      <t>.</t>
    </r>
    <r>
      <rPr>
        <b/>
        <sz val="12"/>
        <rFont val="Times New Roman"/>
        <family val="1"/>
      </rPr>
      <t xml:space="preserve">  Transfer to capital improvements fund.</t>
    </r>
    <r>
      <rPr>
        <sz val="12"/>
        <rFont val="Times New Roman"/>
        <family val="1"/>
      </rPr>
      <t xml:space="preserve">  Authorizes transfers </t>
    </r>
    <r>
      <rPr>
        <sz val="12"/>
        <color indexed="8"/>
        <rFont val="Times New Roman"/>
        <family val="1"/>
      </rPr>
      <t>to the capital improvements fund</t>
    </r>
    <r>
      <rPr>
        <sz val="12"/>
        <rFont val="Times New Roman"/>
        <family val="1"/>
      </rPr>
      <t xml:space="preserve"> from the general fund and </t>
    </r>
    <r>
      <rPr>
        <sz val="12"/>
        <color indexed="8"/>
        <rFont val="Times New Roman"/>
        <family val="1"/>
      </rPr>
      <t>from other city funds lawfully available for improvement purposes.</t>
    </r>
  </si>
  <si>
    <r>
      <t>K.S.A. 12-1,119</t>
    </r>
    <r>
      <rPr>
        <sz val="12"/>
        <rFont val="Times New Roman"/>
        <family val="1"/>
      </rPr>
      <t>.</t>
    </r>
    <r>
      <rPr>
        <b/>
        <sz val="12"/>
        <rFont val="Times New Roman"/>
        <family val="1"/>
      </rPr>
      <t xml:space="preserve">  Transfer to street and highway fund.</t>
    </r>
    <r>
      <rPr>
        <sz val="12"/>
        <rFont val="Times New Roman"/>
        <family val="1"/>
      </rPr>
      <t xml:space="preserve">  M</t>
    </r>
    <r>
      <rPr>
        <sz val="12"/>
        <color indexed="8"/>
        <rFont val="Times New Roman"/>
        <family val="1"/>
      </rPr>
      <t>oneys in the general or other operating funds of the city budgeted for street and highway purposes may be transferred of to the consolidated street and highway fund.</t>
    </r>
  </si>
  <si>
    <r>
      <t xml:space="preserve">K.S.A. </t>
    </r>
    <r>
      <rPr>
        <b/>
        <sz val="12"/>
        <color indexed="8"/>
        <rFont val="Times New Roman"/>
        <family val="1"/>
      </rPr>
      <t>12-631o</t>
    </r>
    <r>
      <rPr>
        <sz val="12"/>
        <color indexed="8"/>
        <rFont val="Times New Roman"/>
        <family val="1"/>
      </rPr>
      <t xml:space="preserve">.  </t>
    </r>
    <r>
      <rPr>
        <b/>
        <sz val="12"/>
        <color indexed="8"/>
        <rFont val="Times New Roman"/>
        <family val="1"/>
      </rPr>
      <t xml:space="preserve">Transfer to sewerage reserve fund.  </t>
    </r>
    <r>
      <rPr>
        <sz val="12"/>
        <color indexed="8"/>
        <rFont val="Times New Roman"/>
        <family val="1"/>
      </rPr>
      <t>Authorizes the transfer of sewer system revenue to a sewer system reserve fund for the future maintenance and operation of its system and for the construction of improvements and expansions to such system.</t>
    </r>
  </si>
  <si>
    <r>
      <t xml:space="preserve">K.S.A. </t>
    </r>
    <r>
      <rPr>
        <b/>
        <sz val="12"/>
        <color indexed="8"/>
        <rFont val="Times New Roman"/>
        <family val="1"/>
      </rPr>
      <t>12-631p.</t>
    </r>
    <r>
      <rPr>
        <sz val="12"/>
        <color indexed="8"/>
        <rFont val="Times New Roman"/>
        <family val="1"/>
      </rPr>
      <t xml:space="preserve">  </t>
    </r>
    <r>
      <rPr>
        <b/>
        <sz val="12"/>
        <color indexed="8"/>
        <rFont val="Times New Roman"/>
        <family val="1"/>
      </rPr>
      <t>Transfer from sewerage system reserve fund.</t>
    </r>
    <r>
      <rPr>
        <sz val="12"/>
        <color indexed="8"/>
        <rFont val="Times New Roman"/>
        <family val="1"/>
      </rPr>
      <t xml:space="preserve">  Allows the retransfer of sewerage system reserve fund dollars to the fund from which it was originally transferred.</t>
    </r>
  </si>
  <si>
    <r>
      <t xml:space="preserve">K.S.A. </t>
    </r>
    <r>
      <rPr>
        <b/>
        <sz val="11"/>
        <color indexed="8"/>
        <rFont val="Times New Roman"/>
        <family val="1"/>
      </rPr>
      <t>12-6a16.</t>
    </r>
    <r>
      <rPr>
        <sz val="11"/>
        <color indexed="8"/>
        <rFont val="Times New Roman"/>
        <family val="1"/>
      </rPr>
      <t xml:space="preserve">  </t>
    </r>
    <r>
      <rPr>
        <b/>
        <sz val="11"/>
        <color indexed="8"/>
        <rFont val="Times New Roman"/>
        <family val="1"/>
      </rPr>
      <t>Transfer from fund for special improvements.</t>
    </r>
    <r>
      <rPr>
        <sz val="11"/>
        <color indexed="8"/>
        <rFont val="Times New Roman"/>
        <family val="1"/>
      </rPr>
      <t xml:space="preserve">  Authorizes a separate fund for each improvement or combination of improvements to be credited with the proceeds from sale of bonds and temporary notes and any other moneys appropriated thereto, and upon completion of the improvement the balance, if any, shall be transferred and credited to the city bond and interest fund.</t>
    </r>
  </si>
  <si>
    <r>
      <t>K.S.A. 12-825d</t>
    </r>
    <r>
      <rPr>
        <sz val="12"/>
        <rFont val="Times New Roman"/>
        <family val="1"/>
      </rPr>
      <t>.</t>
    </r>
    <r>
      <rPr>
        <b/>
        <sz val="12"/>
        <rFont val="Times New Roman"/>
        <family val="1"/>
      </rPr>
      <t xml:space="preserve">  Transfer from utility fund.</t>
    </r>
    <r>
      <rPr>
        <sz val="12"/>
        <rFont val="Times New Roman"/>
        <family val="1"/>
      </rPr>
      <t xml:space="preserve">  Surplus </t>
    </r>
    <r>
      <rPr>
        <sz val="12"/>
        <color indexed="8"/>
        <rFont val="Times New Roman"/>
        <family val="1"/>
      </rPr>
      <t>revenue derived from a utility may be transferred to the general fund or any other fund or such surplus, in whole or in part, may be set aside in a depreciation reserve fund of the utility.</t>
    </r>
  </si>
  <si>
    <r>
      <t>K.S.A. 12-17,118</t>
    </r>
    <r>
      <rPr>
        <sz val="12"/>
        <color indexed="8"/>
        <rFont val="Times New Roman"/>
        <family val="1"/>
      </rPr>
      <t xml:space="preserve">.  </t>
    </r>
    <r>
      <rPr>
        <b/>
        <sz val="12"/>
        <color indexed="8"/>
        <rFont val="Times New Roman"/>
        <family val="1"/>
      </rPr>
      <t xml:space="preserve">Transfer to and from neighborhood revitalization fund. </t>
    </r>
    <r>
      <rPr>
        <sz val="12"/>
        <color indexed="8"/>
        <rFont val="Times New Roman"/>
        <family val="1"/>
      </rPr>
      <t xml:space="preserve"> Authorizes transfers to a neighborhood revitalization fund from any source which may be lawfully utilized to finance redevelopment of designated revitalization areas and dilapidated structures and to provide rebates such purposes.</t>
    </r>
  </si>
  <si>
    <r>
      <t xml:space="preserve">K.S.A. </t>
    </r>
    <r>
      <rPr>
        <b/>
        <sz val="12"/>
        <color indexed="8"/>
        <rFont val="Times New Roman"/>
        <family val="1"/>
      </rPr>
      <t>12-2615</t>
    </r>
    <r>
      <rPr>
        <sz val="12"/>
        <color indexed="8"/>
        <rFont val="Times New Roman"/>
        <family val="1"/>
      </rPr>
      <t>.</t>
    </r>
    <r>
      <rPr>
        <b/>
        <sz val="12"/>
        <color indexed="8"/>
        <rFont val="Times New Roman"/>
        <family val="1"/>
      </rPr>
      <t xml:space="preserve">  Transfer to risk management reserve fund.</t>
    </r>
    <r>
      <rPr>
        <sz val="12"/>
        <color indexed="8"/>
        <rFont val="Times New Roman"/>
        <family val="1"/>
      </rPr>
      <t xml:space="preserve">  To cover costs relating to any uninsured loss moneys may be paid into a risk management reserve fund or special reserve fund from any source which may be utilized for such purposes, including transfers from the general fund, in reasonable proportion to the estimated cost of self insuring the risk losses covered by such funds. </t>
    </r>
  </si>
  <si>
    <r>
      <t xml:space="preserve">K.S.A. </t>
    </r>
    <r>
      <rPr>
        <b/>
        <sz val="12"/>
        <color indexed="8"/>
        <rFont val="Times New Roman"/>
        <family val="1"/>
      </rPr>
      <t>14-2004</t>
    </r>
    <r>
      <rPr>
        <sz val="12"/>
        <color indexed="8"/>
        <rFont val="Times New Roman"/>
        <family val="1"/>
      </rPr>
      <t>.</t>
    </r>
    <r>
      <rPr>
        <b/>
        <sz val="12"/>
        <color indexed="8"/>
        <rFont val="Times New Roman"/>
        <family val="1"/>
      </rPr>
      <t xml:space="preserve">  Transfer by certain cities to a park land acquisition fund.</t>
    </r>
    <r>
      <rPr>
        <sz val="12"/>
        <color indexed="8"/>
        <rFont val="Times New Roman"/>
        <family val="1"/>
      </rPr>
      <t xml:space="preserve">  Authorizes second class cities with the commission-manager form of government to establish a park land acquisition fund and to transfer up to $5,000 a year from its general fund to such fund to acquire land for park purposes.  Not more than $25,000 shall be accumulated in said fund at any time.</t>
    </r>
  </si>
  <si>
    <r>
      <t xml:space="preserve">K.S.A. </t>
    </r>
    <r>
      <rPr>
        <b/>
        <sz val="12"/>
        <color indexed="8"/>
        <rFont val="Times New Roman"/>
        <family val="1"/>
      </rPr>
      <t>44-505f</t>
    </r>
    <r>
      <rPr>
        <sz val="12"/>
        <color indexed="8"/>
        <rFont val="Times New Roman"/>
        <family val="1"/>
      </rPr>
      <t>.</t>
    </r>
    <r>
      <rPr>
        <b/>
        <sz val="12"/>
        <color indexed="8"/>
        <rFont val="Times New Roman"/>
        <family val="1"/>
      </rPr>
      <t xml:space="preserve">  Transfer to worker’s compensation reserve fund.</t>
    </r>
    <r>
      <rPr>
        <sz val="12"/>
        <color indexed="8"/>
        <rFont val="Times New Roman"/>
        <family val="1"/>
      </rPr>
      <t xml:space="preserve">  Where a city chooses to act as a self-insurer under the worker's compensation act it is authorized to make transfers to a worker’s compensation reserve fund from any other funds in reasonable proportion to the estimated cost of providing benefits to employees compensated from such funds.</t>
    </r>
  </si>
  <si>
    <r>
      <t>K.S.A. 68-141g</t>
    </r>
    <r>
      <rPr>
        <sz val="12"/>
        <color indexed="8"/>
        <rFont val="Times New Roman"/>
        <family val="1"/>
      </rPr>
      <t xml:space="preserve">.  </t>
    </r>
    <r>
      <rPr>
        <b/>
        <sz val="12"/>
        <color indexed="8"/>
        <rFont val="Times New Roman"/>
        <family val="1"/>
      </rPr>
      <t>Transfer to special machinery or equipment fund.</t>
    </r>
    <r>
      <rPr>
        <sz val="12"/>
        <color indexed="8"/>
        <rFont val="Times New Roman"/>
        <family val="1"/>
      </rPr>
      <t xml:space="preserve">  Authorizes an annual transfer, not to exceed 25%, from the road, bridge or street fund to a special road, bridge or street building machinery, equipment and bridge building fund. </t>
    </r>
  </si>
  <si>
    <r>
      <t>K.S.A. 68-590.</t>
    </r>
    <r>
      <rPr>
        <sz val="12"/>
        <rFont val="Times New Roman"/>
        <family val="1"/>
      </rPr>
      <t xml:space="preserve"> </t>
    </r>
    <r>
      <rPr>
        <sz val="12"/>
        <color indexed="8"/>
        <rFont val="Times New Roman"/>
        <family val="1"/>
      </rPr>
      <t xml:space="preserve"> </t>
    </r>
    <r>
      <rPr>
        <b/>
        <sz val="12"/>
        <color indexed="8"/>
        <rFont val="Times New Roman"/>
        <family val="1"/>
      </rPr>
      <t>Transfer to special highway improvement fund.</t>
    </r>
    <r>
      <rPr>
        <sz val="12"/>
        <color indexed="8"/>
        <rFont val="Times New Roman"/>
        <family val="1"/>
      </rPr>
      <t xml:space="preserve">  Authorizes the transfer each year from the fund or division thereof budgeted for roads, bridges, highways or streets an amount not to exceed 25% of such fund to a special highway improvement fund.</t>
    </r>
  </si>
  <si>
    <r>
      <t>K.S.A. 79-2958</t>
    </r>
    <r>
      <rPr>
        <sz val="12"/>
        <rFont val="Times New Roman"/>
        <family val="1"/>
      </rPr>
      <t xml:space="preserve">.  </t>
    </r>
    <r>
      <rPr>
        <b/>
        <sz val="12"/>
        <rFont val="Times New Roman"/>
        <family val="1"/>
      </rPr>
      <t>Transfer from closed tax levy fund.</t>
    </r>
    <r>
      <rPr>
        <sz val="12"/>
        <rFont val="Times New Roman"/>
        <family val="1"/>
      </rPr>
      <t xml:space="preserve">  </t>
    </r>
    <r>
      <rPr>
        <sz val="12"/>
        <color indexed="8"/>
        <rFont val="Times New Roman"/>
        <family val="1"/>
      </rPr>
      <t>Whenever there shall remain in any fund moneys received from the levy of a tax, after all obligations of such fund have been fully paid, the treasurer shall close out the fund and credit the excess to the general fund.  Should any back taxes for such levy afterwards be received by the taxing subdivision, it shall be credited to the fund for general purposes.</t>
    </r>
  </si>
  <si>
    <r>
      <rPr>
        <sz val="12"/>
        <color indexed="10"/>
        <rFont val="Times New Roman"/>
        <family val="1"/>
      </rPr>
      <t>*</t>
    </r>
    <r>
      <rPr>
        <sz val="12"/>
        <rFont val="Times New Roman"/>
        <family val="1"/>
      </rPr>
      <t>Expenditures</t>
    </r>
    <r>
      <rPr>
        <sz val="12"/>
        <color indexed="10"/>
        <rFont val="Times New Roman"/>
        <family val="1"/>
      </rPr>
      <t>*</t>
    </r>
  </si>
  <si>
    <r>
      <rPr>
        <b/>
        <sz val="12"/>
        <color indexed="10"/>
        <rFont val="Times New Roman"/>
        <family val="1"/>
      </rPr>
      <t>*</t>
    </r>
    <r>
      <rPr>
        <b/>
        <sz val="12"/>
        <rFont val="Times New Roman"/>
        <family val="1"/>
      </rPr>
      <t>If amended, then use the amended figures.</t>
    </r>
    <r>
      <rPr>
        <b/>
        <sz val="12"/>
        <color indexed="10"/>
        <rFont val="Times New Roman"/>
        <family val="1"/>
      </rPr>
      <t>*</t>
    </r>
  </si>
  <si>
    <t>Page 1 - Total</t>
  </si>
  <si>
    <t>Page 1 -Total</t>
  </si>
  <si>
    <t>Page 2 -Total</t>
  </si>
  <si>
    <t xml:space="preserve">Grand Total </t>
  </si>
  <si>
    <t xml:space="preserve">           General Fund - Detail Page 1</t>
  </si>
  <si>
    <t xml:space="preserve">           General Fund - Detail Page 2</t>
  </si>
  <si>
    <t>1. Cert tab line 14, added 'If amended….'</t>
  </si>
  <si>
    <t>2. Created TransferStatute tab</t>
  </si>
  <si>
    <t>3. Created NonBudFunds tab</t>
  </si>
  <si>
    <t xml:space="preserve">4. Instructions tab added 6b for the TransferStatute tab
</t>
  </si>
  <si>
    <t>5. Added 'See Tab A-E' for violations</t>
  </si>
  <si>
    <t xml:space="preserve">6. Changed each fund page removing 'Yes' and 'No' replacing with 'See Tab' for possible violation </t>
  </si>
  <si>
    <t>7. Nonbud tab changed Net Violation to July 1</t>
  </si>
  <si>
    <t>8. Instruction tab changed 9i to k for 'See Tab'</t>
  </si>
  <si>
    <t>Date:</t>
  </si>
  <si>
    <t>Time:</t>
  </si>
  <si>
    <t>Location:</t>
  </si>
  <si>
    <t>Available at:</t>
  </si>
  <si>
    <t>7:00 PM or 7:00 AM</t>
  </si>
  <si>
    <t>City Hall</t>
  </si>
  <si>
    <t>1. Instruction tab, added step 3 for 'inputBudSum'</t>
  </si>
  <si>
    <t>2. Added tab 'inputBudSum'</t>
  </si>
  <si>
    <t>3. Changed Budget Summary replacing the green areas for date/time/location so info comes from inputBudSum tab</t>
  </si>
  <si>
    <t>Possible Budget Law Violation</t>
  </si>
  <si>
    <t>Can the potential violation be corrected at this time?</t>
  </si>
  <si>
    <t>What should I do?</t>
  </si>
  <si>
    <t>available).</t>
  </si>
  <si>
    <t>Is amending the budget an option?</t>
  </si>
  <si>
    <t>Thank you.</t>
  </si>
  <si>
    <t>Possible Cash Basis Law Violation</t>
  </si>
  <si>
    <t xml:space="preserve">Is this a violation?  </t>
  </si>
  <si>
    <t>What if K.S.A. 10-1116 applies?</t>
  </si>
  <si>
    <t>avoid a cash basis law violation.</t>
  </si>
  <si>
    <t>Options</t>
  </si>
  <si>
    <t>Current Year - Possible Budget Law Violation</t>
  </si>
  <si>
    <t>What should I do at this time?</t>
  </si>
  <si>
    <t>Current Year - Possible Cash Basis Law Violation</t>
  </si>
  <si>
    <t>fund.</t>
  </si>
  <si>
    <t>Should this be fixed?</t>
  </si>
  <si>
    <t>you will want your ending cash balance to be $0.</t>
  </si>
  <si>
    <t>Should this be fixed before we adopt the budget?</t>
  </si>
  <si>
    <t>How do I fix the violation?</t>
  </si>
  <si>
    <t>Is there a benefit to having a positive cash balance?</t>
  </si>
  <si>
    <t>answering objections of taxpayers relating to the proposed use of all funds and the amount of ad valorem tax.</t>
  </si>
  <si>
    <t>4. Deleted lines on Budget Summary reference in #3</t>
  </si>
  <si>
    <t>*Note:</t>
  </si>
  <si>
    <t>Expenditure</t>
  </si>
  <si>
    <t>Receipt</t>
  </si>
  <si>
    <t xml:space="preserve">Fund Transferred </t>
  </si>
  <si>
    <t>Fund Transferred</t>
  </si>
  <si>
    <t>1. Nhood tab added note for computing table</t>
  </si>
  <si>
    <t>1. Instruction tab added line 7b concerning schedule of transfers adjustments</t>
  </si>
  <si>
    <t>2. Transfers tab changed note so to identify current and proposed columns for non-budgeted funds transfers</t>
  </si>
  <si>
    <t>3. Transfers tab changed first two column heading adding 'expenditures' and 'receipts'</t>
  </si>
  <si>
    <t>We, the undersigned, officers of</t>
  </si>
  <si>
    <t>Delinquent Comp Rate:</t>
  </si>
  <si>
    <t>Non-Appropriated Balance</t>
  </si>
  <si>
    <t>Total Expenditure/Non-Appr Balance</t>
  </si>
  <si>
    <r>
      <t xml:space="preserve"> Subtotal detail (</t>
    </r>
    <r>
      <rPr>
        <sz val="12"/>
        <color indexed="10"/>
        <rFont val="Times New Roman"/>
        <family val="1"/>
      </rPr>
      <t>S</t>
    </r>
    <r>
      <rPr>
        <sz val="12"/>
        <color indexed="10"/>
        <rFont val="Times New Roman"/>
        <family val="1"/>
      </rPr>
      <t>hould agree with detail</t>
    </r>
    <r>
      <rPr>
        <sz val="12"/>
        <rFont val="Times New Roman"/>
        <family val="1"/>
      </rPr>
      <t>)</t>
    </r>
  </si>
  <si>
    <t/>
  </si>
  <si>
    <t>for Expenditures</t>
  </si>
  <si>
    <t>Helpful Links</t>
  </si>
  <si>
    <t>Municipal Services (Kansas Department of Administration, Accounts and Reports) – Budget forms, confirmation of payments, transfer statutes, non-budgeted fund statutes, etc.</t>
  </si>
  <si>
    <t>State Debt Setoff Program (Kansas Department of Administration, Accounts and Reports) – Passive collection tool to assist municipalities with collection of unpaid utility bills, etc.</t>
  </si>
  <si>
    <t>Kansas Legislature – Kansas Statutes (usually updated in January), House and Senate Bills, etc.</t>
  </si>
  <si>
    <t>Kansas Attorney General Opinions</t>
  </si>
  <si>
    <t>Kansas Department of Revenue</t>
  </si>
  <si>
    <t>Kansas Department of Revenue – Property Valuation</t>
  </si>
  <si>
    <t>Kansas Pooled Money Investment Board – Investment of Idle Funds in the Municipal Investment Pool</t>
  </si>
  <si>
    <t>1. All pages removed the revision date</t>
  </si>
  <si>
    <t>2. All tax levy fund pages reduced the columns and revised the bottom of pages for see tabs</t>
  </si>
  <si>
    <r>
      <t>K.S.A. 2-1318.  Transfer to noxious weed capital outlay fund.</t>
    </r>
    <r>
      <rPr>
        <sz val="11"/>
        <rFont val="Times New Roman"/>
        <family val="1"/>
      </rPr>
      <t xml:space="preserve">  </t>
    </r>
    <r>
      <rPr>
        <sz val="11"/>
        <color indexed="8"/>
        <rFont val="Times New Roman"/>
        <family val="1"/>
      </rPr>
      <t>Any moneys remaining in the noxious weed eradication fund at the end of any year for which a levy is made may be transferred to the noxious weed capital outlay fund.</t>
    </r>
  </si>
  <si>
    <r>
      <t>K.S.A. 12-16,102.  Transfer to employee benefits contribution trust fund.</t>
    </r>
    <r>
      <rPr>
        <sz val="12"/>
        <color indexed="8"/>
        <rFont val="Times New Roman"/>
        <family val="1"/>
      </rPr>
      <t xml:space="preserve">  May transfer to employee benefits trust fund from any source that may be lawfully utilized for the purposes stated in the ordinance or resolution creating such trust funds, including transfers from employee benefit funds established for other postemployment benefits.</t>
    </r>
  </si>
  <si>
    <r>
      <t xml:space="preserve">K.S.A. </t>
    </r>
    <r>
      <rPr>
        <b/>
        <sz val="12"/>
        <color indexed="8"/>
        <rFont val="Times New Roman"/>
        <family val="1"/>
      </rPr>
      <t>13-1269.</t>
    </r>
    <r>
      <rPr>
        <sz val="12"/>
        <color indexed="8"/>
        <rFont val="Times New Roman"/>
        <family val="1"/>
      </rPr>
      <t xml:space="preserve">  </t>
    </r>
    <r>
      <rPr>
        <b/>
        <sz val="12"/>
        <color indexed="8"/>
        <rFont val="Times New Roman"/>
        <family val="1"/>
      </rPr>
      <t>Transfer from certain utility funds by cities over 100,000.</t>
    </r>
    <r>
      <rPr>
        <sz val="12"/>
        <color indexed="8"/>
        <rFont val="Times New Roman"/>
        <family val="1"/>
      </rPr>
      <t xml:space="preserve">  Authorizes transfers to governmental operating funds from operating revenue of electric-light and water utilities.  Utilities must not have GO bond debt; or, if GO bond debt exists, debt service fund must be adequately capitalized.  Limitations per K.S.A. 13-1271, 13-1272 on amounts that may be transferred.</t>
    </r>
  </si>
  <si>
    <r>
      <t xml:space="preserve">K.S.A. </t>
    </r>
    <r>
      <rPr>
        <b/>
        <sz val="12"/>
        <color indexed="8"/>
        <rFont val="Times New Roman"/>
        <family val="1"/>
      </rPr>
      <t>13-1270.</t>
    </r>
    <r>
      <rPr>
        <sz val="12"/>
        <color indexed="8"/>
        <rFont val="Times New Roman"/>
        <family val="1"/>
      </rPr>
      <t xml:space="preserve">  </t>
    </r>
    <r>
      <rPr>
        <b/>
        <sz val="12"/>
        <color indexed="8"/>
        <rFont val="Times New Roman"/>
        <family val="1"/>
      </rPr>
      <t>Transfer to debt service fund from certain utility funds by cities over 100,000.</t>
    </r>
    <r>
      <rPr>
        <sz val="12"/>
        <color indexed="8"/>
        <rFont val="Times New Roman"/>
        <family val="1"/>
      </rPr>
      <t xml:space="preserve">  Cities with more than 100,000 in population may transfer operating revenue of  electric-light and water utilities to debt service funds moneys sufficient to pay outstanding general obligation bond principal and interest.</t>
    </r>
  </si>
  <si>
    <r>
      <t xml:space="preserve">K.S.A. </t>
    </r>
    <r>
      <rPr>
        <b/>
        <sz val="12"/>
        <color indexed="8"/>
        <rFont val="Times New Roman"/>
        <family val="1"/>
      </rPr>
      <t>13-14b12.  Transfer to hospital special improvement fund.</t>
    </r>
    <r>
      <rPr>
        <sz val="12"/>
        <color indexed="8"/>
        <rFont val="Times New Roman"/>
        <family val="1"/>
      </rPr>
      <t xml:space="preserve">  The board may transfer annually such amounts as it deems advisable to a special improvement fund to be used for the purpose of purchasing major items of equipment and making capital improvements to the hospital.  The amount on hand in such fund shall at no time exceed [$250,000].</t>
    </r>
  </si>
  <si>
    <r>
      <t>K.S.A. 12-16,102.</t>
    </r>
    <r>
      <rPr>
        <sz val="12"/>
        <color indexed="8"/>
        <rFont val="Times New Roman"/>
        <family val="1"/>
      </rPr>
      <t xml:space="preserve">  </t>
    </r>
    <r>
      <rPr>
        <b/>
        <sz val="12"/>
        <color indexed="8"/>
        <rFont val="Times New Roman"/>
        <family val="1"/>
      </rPr>
      <t>Employee benefits trust funds.</t>
    </r>
    <r>
      <rPr>
        <sz val="12"/>
        <color indexed="8"/>
        <rFont val="Times New Roman"/>
        <family val="1"/>
      </rPr>
      <t xml:space="preserve">  For the purpose of holding and investing the assets of other postemployment benefits funds any taxing subdivision may establish one or more trust funds.</t>
    </r>
  </si>
  <si>
    <t>The estimated value of one mill would be:</t>
  </si>
  <si>
    <t>Change in Ad Valorem Tax Revenue:</t>
  </si>
  <si>
    <t>What Mill Rate Would Be Desired?</t>
  </si>
  <si>
    <t>Official Title:</t>
  </si>
  <si>
    <t>City Clerk, City Treasurer, Mayor</t>
  </si>
  <si>
    <t>Local Sales Tax</t>
  </si>
  <si>
    <t>Franchise Tax</t>
  </si>
  <si>
    <t>Licenses</t>
  </si>
  <si>
    <t>Desired Carryover Amount:</t>
  </si>
  <si>
    <t>Estimated Mill Rate Impact:</t>
  </si>
  <si>
    <t xml:space="preserve">Totals </t>
  </si>
  <si>
    <t>Does miscellaneous exceed 10% Total Rec</t>
  </si>
  <si>
    <t>Does miscellaneous exceed 10% Total Exp</t>
  </si>
  <si>
    <t>Does miscellanous exceed 10% Total Exp</t>
  </si>
  <si>
    <t>4. Certificate tab change the 'Expenditure' heading by adding  'Budget Authority for Expenditures'</t>
  </si>
  <si>
    <t xml:space="preserve">5. Certificate tab added additional lines for the governing body signatures </t>
  </si>
  <si>
    <t>6. Certificate tab add the year in the block for 'County Clerk Use Only'</t>
  </si>
  <si>
    <t>7. Certificate tab moved the 'County Clerk's Use Only' from center to right</t>
  </si>
  <si>
    <t>8. Debt tab expand the 'Date' columns and removed two lines from the 'Other Section'</t>
  </si>
  <si>
    <t>9. Gen tab added revenue line for 'Compensation Use'</t>
  </si>
  <si>
    <t>10. Gen tab added table for 'Projection of Cash Carryover'</t>
  </si>
  <si>
    <t>11. Gen tab added table for 'Desired Carryover'</t>
  </si>
  <si>
    <t>12. Gen tab redefine print que to not include tables</t>
  </si>
  <si>
    <t>13. Gen tab hid the comp for see tabs</t>
  </si>
  <si>
    <t>15. DebtService tab added table for 'Projected Carryover'</t>
  </si>
  <si>
    <t>16. DebtService tab redefine print que and hid comp for see tabs</t>
  </si>
  <si>
    <t>17. Levy page9 and page10 tab hid comp for see tabs</t>
  </si>
  <si>
    <t>18. Summ tab merged cells above the 'City Official Title' and center a name if used</t>
  </si>
  <si>
    <t>19. Summ tab link the City Official Title to inputBudSum tab</t>
  </si>
  <si>
    <t>20. Summ tab changed proposed year expenditure column to 'Budget Authority (Includes Carryover)</t>
  </si>
  <si>
    <t>21. Summ tab added four tables to the right of the form</t>
  </si>
  <si>
    <t>22. InputBudSum tab added line for City Official Title and provided an example</t>
  </si>
  <si>
    <t>23. Revised TransferStatutes and NonBudFunds tabs</t>
  </si>
  <si>
    <t>24. Added Mill Rate Computation tab</t>
  </si>
  <si>
    <t>25. Summ tab redefine print que</t>
  </si>
  <si>
    <t>26. Add Helpful Links tab</t>
  </si>
  <si>
    <t>27. Certificate page deleted state block</t>
  </si>
  <si>
    <t>1. Summ tab changed proposed year expenditure column to 'Budget Authority for Expenditures'</t>
  </si>
  <si>
    <r>
      <t>K.S.A. 14-568.  Sewer Fund Surplus Transfers to Sinking Fund and General Fund.</t>
    </r>
    <r>
      <rPr>
        <sz val="12"/>
        <rFont val="Times New Roman"/>
        <family val="1"/>
      </rPr>
      <t xml:space="preserve">  Surplus revenue in the sewer fund it shall be semi-annually transferred to a sinking fund and, when such surplus fund is not needed for operations or bonded indebtedness, it may be transferred to the general fund.</t>
    </r>
  </si>
  <si>
    <t>1. Instructions tab, added #1c for adjusting ad valorem taxes</t>
  </si>
  <si>
    <t>2. Instructions tab, changed #3 for adding name of official for Budget Summary page</t>
  </si>
  <si>
    <t>3. Instructions tab, added #3b for new max published date on 'inputBudSum' tab</t>
  </si>
  <si>
    <t>4. Instructions tab, changed #6 to remove slider column and computations</t>
  </si>
  <si>
    <t>5. Instructions tab, added #10 for explain about 'Library Grant' tab and Library fund page</t>
  </si>
  <si>
    <t>6. Instructions tab, changed #11 now Debt Service and Library funds are on the same tab (hard coded Cert &amp; Summary</t>
  </si>
  <si>
    <t>7. Instructions tab, added #11a for numbering of the General and General Detail pages</t>
  </si>
  <si>
    <t>8. Instructions tab, changed #11b to reflect all tax levy pages with 'Projected Carryover' table</t>
  </si>
  <si>
    <t>9. Instructions tab, changed #11c to reflect all tax levy pages with 'Desired Carryover' and warning about delinquency rate</t>
  </si>
  <si>
    <t>10. Instructions tab, added #11d for last year mill rate, proposed total mill rate, and last year total mill rate</t>
  </si>
  <si>
    <t>11. Instructions tab, changed #11e to remove page number 7 as the General page number might change if Library is used</t>
  </si>
  <si>
    <t>12. Instructions tab, changed #12b added name of official</t>
  </si>
  <si>
    <t>13. Instructions tab, added #12c for computation of one mill</t>
  </si>
  <si>
    <t>14. Instructions tab, changed #12d added the name of the tables and warning about delinquency rate if used</t>
  </si>
  <si>
    <t>15. Instructions tab, changed #12e added the name of the table and warning about delinquency rate if used</t>
  </si>
  <si>
    <t>16. Instructions tab, changed #12f added that not signing the Budget Summary page will not require to be reprinted</t>
  </si>
  <si>
    <t xml:space="preserve">17. InputPrYr tab, added column for adjusting ad valorem taxes to reflect a better picture of actual taxes received, allow a rate to be used to compute the new amount, and links the new amounts to the appropriate fund page, if used, otherwise used the original amounts </t>
  </si>
  <si>
    <t>18. InputPrYr tab, hard coded Library in the tax levy funds section along with General and Debt Service</t>
  </si>
  <si>
    <t>19. InputOth tab, section for Computation of Delinquency, change to % from rate and provided example, link to all tax levy fund page will show as %  vs rate</t>
  </si>
  <si>
    <t>20. InputBudSum tab, added official name and latest date for publication of Notice of Budget Hearing</t>
  </si>
  <si>
    <t xml:space="preserve">21. Cert tab, under Table of Content, added Computation to Determine State Library Grant </t>
  </si>
  <si>
    <t>22. Cert tab, right justifyed figures versus having figures centered</t>
  </si>
  <si>
    <t>23. Cert tab, put spaces between governing body signatures block</t>
  </si>
  <si>
    <t>24. Mvalloc tab, removed slider column and computation for slider</t>
  </si>
  <si>
    <t>25. All tax levy fund pages removed the link from Mvalloc tab for slider and converted cells to blank</t>
  </si>
  <si>
    <t xml:space="preserve">26. Debt and Lpform tab added a blank new column at left side and formated 'type of debt' and 'item purchased'  </t>
  </si>
  <si>
    <t>27. All fund pages changed the year column heading, example 'Prior Year Actual' to 'Prior Year' second line 'Actual YYYY'</t>
  </si>
  <si>
    <t xml:space="preserve">28. Change out the 'Mill Rate Computation' tab so to agree with the website </t>
  </si>
  <si>
    <t>29. Added KSA 14-568 to transfer tab</t>
  </si>
  <si>
    <t>30. All tax levy fund pages added 'Mill Rate Comparison' table</t>
  </si>
  <si>
    <t>31. Created new Library Grant tab for determining if the library would be approved for a grant</t>
  </si>
  <si>
    <t>32. Change Debt Svs tab to DebtSvs-Library</t>
  </si>
  <si>
    <t>33. DebtSvs-Library tab, for Library fund page added message for qualify for grant or see Library Grant tab</t>
  </si>
  <si>
    <t xml:space="preserve"> Debt</t>
  </si>
  <si>
    <t>Type of</t>
  </si>
  <si>
    <t xml:space="preserve"> Purchased</t>
  </si>
  <si>
    <t>Item</t>
  </si>
  <si>
    <t xml:space="preserve">Amounts used in lieu of </t>
  </si>
  <si>
    <t>Library</t>
  </si>
  <si>
    <t>12-1220</t>
  </si>
  <si>
    <t>Delinquency % used in this budget will be shown on all fund pages with a tax levy**</t>
  </si>
  <si>
    <t>Official Name:</t>
  </si>
  <si>
    <t>Expenditures Must Be Changed By:</t>
  </si>
  <si>
    <t>Expenditures Must Be Changed by:</t>
  </si>
  <si>
    <t>WORKSHEET FOR STATE GRANT-IN-AID TO PUBLIC LIBRARIES AND</t>
  </si>
  <si>
    <t>REGIONAL LIBRARY SYSTEMS</t>
  </si>
  <si>
    <t>First test:</t>
  </si>
  <si>
    <t>Current Year</t>
  </si>
  <si>
    <t>Proposed Year</t>
  </si>
  <si>
    <t>TOTAL TAXES</t>
  </si>
  <si>
    <t>Difference in Total Taxes:</t>
  </si>
  <si>
    <t>Qualify for grant:</t>
  </si>
  <si>
    <t>Second test:</t>
  </si>
  <si>
    <t>Assessed Valuation</t>
  </si>
  <si>
    <t>Did Assessed Valuation Decrease?</t>
  </si>
  <si>
    <t>Levy Rate</t>
  </si>
  <si>
    <t>Difference in Levy Rate:</t>
  </si>
  <si>
    <t>Overall does the municipality qualify for a grant?</t>
  </si>
  <si>
    <t>If the municipality would not have qualified for a grant, please see the below narrative for assistance from the State Library.</t>
  </si>
  <si>
    <t>Proposed Budget Year – Possible Loss of Library State Aid</t>
  </si>
  <si>
    <t xml:space="preserve">Welcome. You have been directed to this section because the amount of revenue from qualifying </t>
  </si>
  <si>
    <t xml:space="preserve">In municipalities supporting a library the municipality must budget as much or more for the </t>
  </si>
  <si>
    <t xml:space="preserve">budget year as received in the current year for its library to be eligible for a state grant-in-aid </t>
  </si>
  <si>
    <t>through the State Library of Kansas.</t>
  </si>
  <si>
    <t>Is this a violation?</t>
  </si>
  <si>
    <t>No. However, it may cost the library valuable supplemental state—and in some cases, regional—</t>
  </si>
  <si>
    <t>revenue.</t>
  </si>
  <si>
    <t>Why did this happen?</t>
  </si>
  <si>
    <r>
      <t xml:space="preserve">To answer this question, review K.S.A. 75-2556 </t>
    </r>
    <r>
      <rPr>
        <i/>
        <sz val="12"/>
        <rFont val="Times New Roman"/>
        <family val="1"/>
      </rPr>
      <t>et seq.</t>
    </r>
    <r>
      <rPr>
        <sz val="12"/>
        <rFont val="Times New Roman"/>
        <family val="1"/>
      </rPr>
      <t xml:space="preserve"> to see how it applies to your library fund. </t>
    </r>
  </si>
  <si>
    <t xml:space="preserve">No public library is eligible for a grant-in-aid if the total amount of current year ad valorem </t>
  </si>
  <si>
    <t xml:space="preserve">property tax, delinquent tax, and MV, recreational vehicle, and 16/20M tax is less than the total </t>
  </si>
  <si>
    <t>amount produced from such sources for the previous year.</t>
  </si>
  <si>
    <t xml:space="preserve">The statute only includes the library fund. If a separate library employee fund exists, it is not </t>
  </si>
  <si>
    <t>included in the calculation.</t>
  </si>
  <si>
    <t xml:space="preserve">Note also that although you are eligible to expend carryover from the previous year, the statute </t>
  </si>
  <si>
    <t>does not include carryover and it is not considered for determination of eligibility.</t>
  </si>
  <si>
    <t>Who determines eligibility?</t>
  </si>
  <si>
    <r>
      <t xml:space="preserve">K.S.A. 75-2556 </t>
    </r>
    <r>
      <rPr>
        <i/>
        <sz val="12"/>
        <rFont val="Times New Roman"/>
        <family val="1"/>
      </rPr>
      <t>et seq.</t>
    </r>
    <r>
      <rPr>
        <sz val="12"/>
        <rFont val="Times New Roman"/>
        <family val="1"/>
      </rPr>
      <t xml:space="preserve"> makes the State Library of Kansas responsible for determining eligibility </t>
    </r>
  </si>
  <si>
    <t>and distribution of library grants-in-aid.</t>
  </si>
  <si>
    <t>Can this issue be corrected at this time?</t>
  </si>
  <si>
    <t>Clerk the library fund can be fixed before the submission of the budget to the County Clerk.</t>
  </si>
  <si>
    <t xml:space="preserve">First, review the budget summary page to ensure that the ad valorem tax mill rate for Proposed </t>
  </si>
  <si>
    <t xml:space="preserve">If the mill rate is lower, check to see if the lesser amount is due to a decline in the assessed valuation. </t>
  </si>
  <si>
    <t xml:space="preserve">K.S.A. 75-2556(c) says that if the assessed valuation decreases the library will remain eligible as </t>
  </si>
  <si>
    <t xml:space="preserve">long as the ad valorem tax mill rate has not been reduced below the mill rate imposed for such </t>
  </si>
  <si>
    <t xml:space="preserve">blank. If an amount is budgeted for the Proposed Budget Year it may improve the total to help </t>
  </si>
  <si>
    <t xml:space="preserve">the library’s eligibility as well as provide the library with authority under the cash basis law to </t>
  </si>
  <si>
    <t>spend any delinquent taxes it receives.</t>
  </si>
  <si>
    <t>Further options</t>
  </si>
  <si>
    <t xml:space="preserve">The State Library can continue eligibility if after evaluation of all circumstances it is determined </t>
  </si>
  <si>
    <t>that the maintenance of local tax support for the operations of the library is being met.</t>
  </si>
  <si>
    <t xml:space="preserve">These circumstances might include authorized transfer from the other funds, additional tax funds spent </t>
  </si>
  <si>
    <t xml:space="preserve">for support of the library that do not appear in the library fund, or special circumstances in this </t>
  </si>
  <si>
    <t xml:space="preserve">budget year. The State Library requires a letter of certification from the municipality to continue </t>
  </si>
  <si>
    <t>eligibility. For more information contact the State Library of Kansas at 785.296.3296, or e-mail:</t>
  </si>
  <si>
    <t>________________________   _________________________</t>
  </si>
  <si>
    <t>________________________  __________________________</t>
  </si>
  <si>
    <t>Email:</t>
  </si>
  <si>
    <t>Allocation of MVT, RVT, 16/20M Veh Tax</t>
  </si>
  <si>
    <t xml:space="preserve">Prior Year </t>
  </si>
  <si>
    <t xml:space="preserve">Current Year </t>
  </si>
  <si>
    <t xml:space="preserve">Proposed Budget </t>
  </si>
  <si>
    <t>34. Certificate tab added a place for the email address of the assisted by</t>
  </si>
  <si>
    <t>1. Library Grant tab, updated State Library e-mail contact address</t>
  </si>
  <si>
    <t>1. Corrected addition computation in column D, inputPrYr tab</t>
  </si>
  <si>
    <t xml:space="preserve">Ad Valorem </t>
  </si>
  <si>
    <t xml:space="preserve">Recreational Vehicle Tax </t>
  </si>
  <si>
    <t xml:space="preserve">16/20M Vehicle Tax </t>
  </si>
  <si>
    <t>1.  Added "ordinance required?  yes/no" message to area adjacent to each tax levy fund</t>
  </si>
  <si>
    <t>1.  Corrected formula in cell e28 of Library Grant tab</t>
  </si>
  <si>
    <t>1.  Instruction tab narrative modification</t>
  </si>
  <si>
    <t>1.  "Budget Authority Amount" cell added to budget year column of all funds.</t>
  </si>
  <si>
    <t>The following changes were made to this workbook on 5/7/14</t>
  </si>
  <si>
    <t>1.  Several changes to workbook associated with 2014 HB 2047.</t>
  </si>
  <si>
    <t>The following changes were made to this workbook on 3/21/13</t>
  </si>
  <si>
    <t>The following changes were made to this workbook on 1/31/13</t>
  </si>
  <si>
    <t>The following changes were made to this workbook on 10/8/12</t>
  </si>
  <si>
    <t>The following changes were made to this workbook on 4/10/12</t>
  </si>
  <si>
    <t>The following changes were made to this workbook on 2/22/12</t>
  </si>
  <si>
    <t>The following changes were made to this workbook on 8/16/11</t>
  </si>
  <si>
    <t>The following changes were made to this workbook on 6/17/11</t>
  </si>
  <si>
    <t>The following changes were made to this workbook on 4/19/11</t>
  </si>
  <si>
    <t>The following changes were made to this workbook on 1/05/10</t>
  </si>
  <si>
    <t>The following changes were made to this workbook on 12/28/09</t>
  </si>
  <si>
    <t>The following changes were made to this workbook on 12/08/09</t>
  </si>
  <si>
    <t>The following changes were made to this workbook on 10/2/09</t>
  </si>
  <si>
    <t>1.  Correction to formula in cell j44 of the computation tab worksheet.</t>
  </si>
  <si>
    <t>The following changes were made to this workbook on 7/9/14</t>
  </si>
  <si>
    <t>1.  Update of State Library contact name on library grant tab.</t>
  </si>
  <si>
    <t>Input Sheet for City2 Budget Workbook</t>
  </si>
  <si>
    <t>Enter city name ("City of _____"):</t>
  </si>
  <si>
    <t>Enter county name followed by "County":</t>
  </si>
  <si>
    <t>Enter year being budgeted (YYYY):</t>
  </si>
  <si>
    <t xml:space="preserve">Enter the following information from the sources shown.  This information will flow throughout the budget worksheets to the appropriate locations. </t>
  </si>
  <si>
    <r>
      <rPr>
        <sz val="12"/>
        <color indexed="10"/>
        <rFont val="Times New Roman"/>
        <family val="1"/>
      </rPr>
      <t>Note:</t>
    </r>
    <r>
      <rPr>
        <sz val="12"/>
        <rFont val="Times New Roman"/>
        <family val="1"/>
      </rPr>
      <t xml:space="preserve">  the tool below may be used to create a more realistic estimate of ad valorem taxes to be received in the current year.  Input an estimated delinquency percentage in the green box. This </t>
    </r>
    <r>
      <rPr>
        <sz val="12"/>
        <color indexed="10"/>
        <rFont val="Times New Roman"/>
        <family val="1"/>
      </rPr>
      <t>is not mandatory</t>
    </r>
    <r>
      <rPr>
        <sz val="12"/>
        <rFont val="Times New Roman"/>
        <family val="1"/>
      </rPr>
      <t xml:space="preserve"> and may be left blank.            </t>
    </r>
  </si>
  <si>
    <t>Note:  All amounts are to be entered as whole numbers only.</t>
  </si>
  <si>
    <t>How to Compute the Value of One Mill, and the Impact of Tax Dollars and Assessed Valuation on Mill Rates</t>
  </si>
  <si>
    <t>Commercial Vehicle Tax Estimate</t>
  </si>
  <si>
    <t>Watercraft Tax Estimate</t>
  </si>
  <si>
    <t>Comm Veh</t>
  </si>
  <si>
    <t>Watercraft</t>
  </si>
  <si>
    <t xml:space="preserve">Ad Valorem Levy </t>
  </si>
  <si>
    <t>County Treas Recreational Vehicle Estimate</t>
  </si>
  <si>
    <t>County Treas 16/20M Vehicle Estimate</t>
  </si>
  <si>
    <t>County Treas Commercial Vehicle Tax Estimate</t>
  </si>
  <si>
    <t>County Treas Watercraft Tax Estimate</t>
  </si>
  <si>
    <t>Commercial Vehicle Factor</t>
  </si>
  <si>
    <t>Watercraft Factor</t>
  </si>
  <si>
    <t>Commercial Vehicle Tax</t>
  </si>
  <si>
    <t>Watercraft Tax</t>
  </si>
  <si>
    <t>1.  Various workbook changes associated with commercial vehicle and watercraft tax estimates.</t>
  </si>
  <si>
    <t xml:space="preserve">Allocation of MV, RV, 16/20M, Commercial Vehicle, and Watercraft Tax Estimates </t>
  </si>
  <si>
    <t>The following changes were made to this workbook on 1/21/15</t>
  </si>
  <si>
    <t>1.  Inserted 2014 CPI percentage on computation tab.</t>
  </si>
  <si>
    <t>2.  Corrected formula in cell d24 of library grant tab.</t>
  </si>
  <si>
    <t>1.  Inserted 2015 CPI percentage on computation tab.</t>
  </si>
  <si>
    <t>The following changes were made to this workbook on 4/7/2017</t>
  </si>
  <si>
    <t xml:space="preserve">1.  Update the Instruction tab with Rico's name and telephone number.  Updated ARMUNIS address.  </t>
  </si>
  <si>
    <t xml:space="preserve">2.  Disabled the Computation tab - Counties and Cities will need to use the HB 2088 Template for the 2018 budgets.  </t>
  </si>
  <si>
    <t xml:space="preserve">CPA Summary </t>
  </si>
  <si>
    <t>Expiration of Property Tax Abatements</t>
  </si>
  <si>
    <t>CPA Summary</t>
  </si>
  <si>
    <t>The following changes were made to this workbook during April 2018</t>
  </si>
  <si>
    <t>1.  Added CPA Summary Tab</t>
  </si>
  <si>
    <t xml:space="preserve">2.  Added CPA Summary Box to Certification Page and all Fund Pages </t>
  </si>
  <si>
    <t xml:space="preserve">3. Added CPI Percentages on Input Prior Year Tab </t>
  </si>
  <si>
    <t>4. Added Computed Tax Levy Amount on Certification Page and Edit if Election is Required</t>
  </si>
  <si>
    <t>5.  Removed Computation Tab and Inserted Comp1, Comp2, and Comp3 Tabs and Inserted Various Links</t>
  </si>
  <si>
    <t>6.  Changed Megan Schulz email address on Library Grant Tab</t>
  </si>
  <si>
    <t xml:space="preserve">7.  Removed Public Notice Options Tabs 1, 2, and 3 </t>
  </si>
  <si>
    <t xml:space="preserve">8.  Removed Resolution Tab   </t>
  </si>
  <si>
    <t xml:space="preserve">Please read these instructions carefully.  If after reviewing the instructions you still have questions, contact Municipal Services at 785-296-6033 or 785-296-8083; or via email to armunis@ks.gov. </t>
  </si>
  <si>
    <t>1.  Updated Municipal Services' contact information on the Instruction tab</t>
  </si>
  <si>
    <t xml:space="preserve">2.  Entered 2020 for the budget year and the applicable CPI percentages on the InputPrYr tab </t>
  </si>
  <si>
    <t>3.  Highlighted tab (pages) in blue if the page is to be printed and submitted as part of the budget</t>
  </si>
  <si>
    <t>4.  Added Remodeling and Rennovation to the New Improvements line on the InputOther tab</t>
  </si>
  <si>
    <t>5.  Added Remodeling and Rennovation to the New Improvements line on the Comp1 tab</t>
  </si>
  <si>
    <t>6.  Added Levy for Dissolved Taxing Entity on the Comp3 tab</t>
  </si>
  <si>
    <t>Alice.Smith@ks.gov</t>
  </si>
  <si>
    <t>1. CPI Percentages were entered for the 2021 budget year</t>
  </si>
  <si>
    <t xml:space="preserve">2. Combined percentage/revenue adjustment computation for tax lid into "Comp1", added "If/then" statement at bottom of comp tab to direct users on following steps. </t>
  </si>
  <si>
    <t>3. Comp2 is now the other limit determination tests (Property Decline and Lost Valuation)</t>
  </si>
  <si>
    <t>4. Updated the Helpful Links to correct weblinks</t>
  </si>
  <si>
    <t>5. Used format painter to make all pages consistent in color and layout</t>
  </si>
  <si>
    <t>Revenue Neutral Rate</t>
  </si>
  <si>
    <t>Revenue Neutral Rate**</t>
  </si>
  <si>
    <t>The following changes were made to this workbook during April 2021</t>
  </si>
  <si>
    <t>1. CPI was removed (2021 SB 13)</t>
  </si>
  <si>
    <t>2. Computed Limit/Tax Lid references and tabs were removed throughout workbook (2021 SB 13)</t>
  </si>
  <si>
    <t>3. Budget Summary Page was updated to include Revenue Neutral Rate (2021 SB 13)</t>
  </si>
  <si>
    <t xml:space="preserve">4. Instructions were adjusted to reflect changes from 2021 SB 13. </t>
  </si>
  <si>
    <t>Budget Workbook Instructions</t>
  </si>
  <si>
    <t xml:space="preserve">Please use the budget workbook that corresponds to the number of funds that are used by your taxing subdivision.  If you do not need all the fund pages in the workbook, leave the page number field on the unused fund pages blank and number the completed fund pages sequentially.  The Certificate page will be updated when the page numbers are entered on the fund pages. </t>
  </si>
  <si>
    <t>Submitting the Budget</t>
  </si>
  <si>
    <r>
      <t xml:space="preserve">As required by KSA 79-1801, budgets without intent to exceed the Revenue Neutral Rate (RNR) are required be certified and submitted to the County Clerk by </t>
    </r>
    <r>
      <rPr>
        <u/>
        <sz val="12"/>
        <rFont val="Times New Roman"/>
        <family val="1"/>
      </rPr>
      <t>August 25th</t>
    </r>
    <r>
      <rPr>
        <sz val="12"/>
        <rFont val="Times New Roman"/>
        <family val="1"/>
      </rPr>
      <t xml:space="preserve"> of each year.  If the taxing subdivision must conduct a hearing to approve exceeding the RNR, the budget must be certified and submitted to the County Clerk by </t>
    </r>
    <r>
      <rPr>
        <u/>
        <sz val="12"/>
        <rFont val="Times New Roman"/>
        <family val="1"/>
      </rPr>
      <t>October 1</t>
    </r>
    <r>
      <rPr>
        <u/>
        <vertAlign val="superscript"/>
        <sz val="12"/>
        <rFont val="Times New Roman"/>
        <family val="1"/>
      </rPr>
      <t>st</t>
    </r>
    <r>
      <rPr>
        <b/>
        <sz val="12"/>
        <rFont val="Times New Roman"/>
        <family val="1"/>
      </rPr>
      <t xml:space="preserve">. </t>
    </r>
  </si>
  <si>
    <t>KSA 79-2930 requires budgets be submitted by electronic means to your County Clerk. Acceptable electronic formats are Microsoft Excel and Adobe PDF.</t>
  </si>
  <si>
    <t>General Instructions</t>
  </si>
  <si>
    <t xml:space="preserve">The worksheet tabs are labeled an abbreviation of the document name.  The worksheet tabs are identified in workbook by referencing the tab name in parentheses. For example, the General Fund reference is (General). </t>
  </si>
  <si>
    <t>All dollar amounts should be recorded in whole dollars (do not include cents).</t>
  </si>
  <si>
    <t xml:space="preserve">      Data should only be entered in the green-shaded cells on the budget worksheets.  </t>
  </si>
  <si>
    <t xml:space="preserve">      The beige-shaded cells of the budget worksheets contain formulas or links which should not be changed and are protected.  Most errors occur because of information entered on the input pages.  If you are experiencing a problem with a protected cell, first check to see how the information was entered on the input pages.  If the information was entered correctly, and you continue to experience problems, please contact Municipal Services for assistance. </t>
  </si>
  <si>
    <t xml:space="preserve">      The blue-shaded cells indicate where the required data input can be located. </t>
  </si>
  <si>
    <t xml:space="preserve">      Red-shaded cells are for notes or indicate a problem area that may need corrective action. </t>
  </si>
  <si>
    <r>
      <t xml:space="preserve">To print the worksheets, you can print one tab at a time or all tabs at once by highlighting the tabs that need to be printed.  </t>
    </r>
    <r>
      <rPr>
        <b/>
        <u/>
        <sz val="12"/>
        <rFont val="Times New Roman"/>
        <family val="1"/>
      </rPr>
      <t>Note</t>
    </r>
    <r>
      <rPr>
        <sz val="12"/>
        <rFont val="Times New Roman"/>
        <family val="1"/>
      </rPr>
      <t xml:space="preserve">: Do not print the instructions, input tabs, statutes, etc.  All tabs that are colored blue should be printed (if applicable) and submitted.  </t>
    </r>
  </si>
  <si>
    <t>Workbook Preparation</t>
  </si>
  <si>
    <t>Before getting started, make sure that you have all documents necessary to retrieve the input information for this year’s budget. For a list of documents to have available, see the “Preparing the Budget – Documents Needed” checklist on the Municipal Services website.</t>
  </si>
  <si>
    <r>
      <t xml:space="preserve">1. </t>
    </r>
    <r>
      <rPr>
        <u/>
        <sz val="12"/>
        <rFont val="Times New Roman"/>
        <family val="1"/>
      </rPr>
      <t>Input Prior Year (inputPrYr)</t>
    </r>
    <r>
      <rPr>
        <sz val="12"/>
        <rFont val="Times New Roman"/>
        <family val="1"/>
      </rPr>
      <t xml:space="preserve">: The information comes directly from last year's budget.  After the information has been entered, please verify the data is correct.  If at a later date, it is determined the information is incorrect, correct the information on this page, </t>
    </r>
    <r>
      <rPr>
        <u/>
        <sz val="12"/>
        <rFont val="Times New Roman"/>
        <family val="1"/>
      </rPr>
      <t>not</t>
    </r>
    <r>
      <rPr>
        <sz val="12"/>
        <rFont val="Times New Roman"/>
        <family val="1"/>
      </rPr>
      <t xml:space="preserve"> the fund page. </t>
    </r>
  </si>
  <si>
    <r>
      <t>a.</t>
    </r>
    <r>
      <rPr>
        <sz val="7"/>
        <rFont val="Times New Roman"/>
        <family val="1"/>
      </rPr>
      <t xml:space="preserve">       </t>
    </r>
    <r>
      <rPr>
        <sz val="12"/>
        <rFont val="Times New Roman"/>
        <family val="1"/>
      </rPr>
      <t>In the green-shaded cell, enter the name of the taxing subdivision. For cities, please include “City of” before the city name.</t>
    </r>
  </si>
  <si>
    <r>
      <t>b.</t>
    </r>
    <r>
      <rPr>
        <sz val="7"/>
        <rFont val="Times New Roman"/>
        <family val="1"/>
      </rPr>
      <t xml:space="preserve">      </t>
    </r>
    <r>
      <rPr>
        <sz val="12"/>
        <rFont val="Times New Roman"/>
        <family val="1"/>
      </rPr>
      <t>Dates for the entire budget workbook are controlled by the year entered into the "Enter year being budgeted (YYYY)" field. This field will be prepopulated. If you find a date that is not correct for the budget being submitted, please contact Municipal Services for assistance.</t>
    </r>
  </si>
  <si>
    <r>
      <t>c.</t>
    </r>
    <r>
      <rPr>
        <sz val="7"/>
        <rFont val="Times New Roman"/>
        <family val="1"/>
      </rPr>
      <t xml:space="preserve">       </t>
    </r>
    <r>
      <rPr>
        <u/>
        <sz val="12"/>
        <rFont val="Times New Roman"/>
        <family val="1"/>
      </rPr>
      <t>Optional</t>
    </r>
    <r>
      <rPr>
        <sz val="12"/>
        <rFont val="Times New Roman"/>
        <family val="1"/>
      </rPr>
      <t>: To the right of the last year Ad Valorem Tax column is a tool that may be used to create an estimate of ad valorem taxes to be received in the current year. Input an estimated delinquency percentage in the green-shaded cell. If you do not wish to use an estimated delinquency percentage, leave the green-shaded field at 0.00%.</t>
    </r>
  </si>
  <si>
    <r>
      <t>d.</t>
    </r>
    <r>
      <rPr>
        <sz val="7"/>
        <rFont val="Times New Roman"/>
        <family val="1"/>
      </rPr>
      <t xml:space="preserve">      </t>
    </r>
    <r>
      <rPr>
        <sz val="12"/>
        <rFont val="Times New Roman"/>
        <family val="1"/>
      </rPr>
      <t>Follow the instruction in the blue-shaded cells to complete the green-shaded input cells applicable to your budget.</t>
    </r>
  </si>
  <si>
    <r>
      <t>2.</t>
    </r>
    <r>
      <rPr>
        <sz val="12"/>
        <rFont val="Times New Roman"/>
        <family val="1"/>
      </rPr>
      <t xml:space="preserve"> </t>
    </r>
    <r>
      <rPr>
        <u/>
        <sz val="12"/>
        <rFont val="Times New Roman"/>
        <family val="1"/>
      </rPr>
      <t>Input Other (inputOth)</t>
    </r>
    <r>
      <rPr>
        <sz val="12"/>
        <rFont val="Times New Roman"/>
        <family val="1"/>
      </rPr>
      <t xml:space="preserve">: The information entered on this tab is obtained from the County Clerk, County Treasurer, Municipal Services website, and the adopted budget information from two years ago (including any amendments).  After the information has been entered, please verify the data is correct. </t>
    </r>
  </si>
  <si>
    <r>
      <t>a.</t>
    </r>
    <r>
      <rPr>
        <sz val="7"/>
        <rFont val="Times New Roman"/>
        <family val="1"/>
      </rPr>
      <t xml:space="preserve">       </t>
    </r>
    <r>
      <rPr>
        <sz val="12"/>
        <rFont val="Times New Roman"/>
        <family val="1"/>
      </rPr>
      <t>Follow instruction in the blue-shaded cells to complete the green-shaded input cells.</t>
    </r>
  </si>
  <si>
    <r>
      <t>b.</t>
    </r>
    <r>
      <rPr>
        <sz val="7"/>
        <rFont val="Times New Roman"/>
        <family val="1"/>
      </rPr>
      <t xml:space="preserve">      </t>
    </r>
    <r>
      <rPr>
        <b/>
        <u/>
        <sz val="12"/>
        <rFont val="Times New Roman"/>
        <family val="1"/>
      </rPr>
      <t>Note</t>
    </r>
    <r>
      <rPr>
        <sz val="12"/>
        <rFont val="Times New Roman"/>
        <family val="1"/>
      </rPr>
      <t>: Computation of Delinquency. This allowance is not mandatory but may be used if the municipality wishes. KSA 79-2930 states that such allowance shall not exceed by more than 5% the percentage of delinquency for the preceding tax year. The delinquency rate will be applied to all tax levy fund pages.</t>
    </r>
  </si>
  <si>
    <t>If the taxing subdivision chooses to use the delinquency rate for some but not all tax levy funds, the taxing subdivision must delete the delinquency rate from the funds that should not include delinquency. Right-click on the tab of the fund that does not require the delinquency rate estimate and select Unprotect Sheet. Delete the data in the Delinquent Comp Rate cell. Right click on the tab of the fund page and select Protect Sheet and OK. You do not need to enter a password in the Protect Sheet window. Select OK. Go to the next fund tab and complete the same steps, if applicable.</t>
  </si>
  <si>
    <r>
      <t>3.</t>
    </r>
    <r>
      <rPr>
        <sz val="12"/>
        <rFont val="Times New Roman"/>
        <family val="1"/>
      </rPr>
      <t xml:space="preserve"> </t>
    </r>
    <r>
      <rPr>
        <u/>
        <sz val="12"/>
        <rFont val="Times New Roman"/>
        <family val="1"/>
      </rPr>
      <t>Input Hearing Information (inputHearing)</t>
    </r>
    <r>
      <rPr>
        <sz val="12"/>
        <rFont val="Times New Roman"/>
        <family val="1"/>
      </rPr>
      <t xml:space="preserve">: The information entered on this tab will populate the public hearing information to the appropriate hearing notice.  Review the available options and based on the taxing subdivision needs and complete the appropriate section(s). </t>
    </r>
  </si>
  <si>
    <r>
      <t xml:space="preserve">NOTE: </t>
    </r>
    <r>
      <rPr>
        <sz val="12"/>
        <rFont val="Times New Roman"/>
        <family val="1"/>
      </rPr>
      <t xml:space="preserve">All taxing subdivisions must publish the summarized budget in order to legally adopt the budget (unless otherwise authorized by law).  To do this, either the “Budget Hearing Notice Only” or the “Combined Revenue Neutral Rate &amp; Budget Hearing Notice” section and publication should be used.  </t>
    </r>
  </si>
  <si>
    <r>
      <t>a.</t>
    </r>
    <r>
      <rPr>
        <sz val="7"/>
        <rFont val="Times New Roman"/>
        <family val="1"/>
      </rPr>
      <t xml:space="preserve">       </t>
    </r>
    <r>
      <rPr>
        <u/>
        <sz val="12"/>
        <rFont val="Times New Roman"/>
        <family val="1"/>
      </rPr>
      <t>Budget Hearing Notice Only</t>
    </r>
    <r>
      <rPr>
        <sz val="12"/>
        <rFont val="Times New Roman"/>
        <family val="1"/>
      </rPr>
      <t xml:space="preserve">: If the subdivision does not intend to exceed the RNR or will publish the RNR hearing information separately, this section may be used.  Enter the required information into the green-shaded cells. Print and review the tab (Budget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t>
    </r>
  </si>
  <si>
    <r>
      <t>b.</t>
    </r>
    <r>
      <rPr>
        <sz val="7"/>
        <rFont val="Times New Roman"/>
        <family val="1"/>
      </rPr>
      <t xml:space="preserve">      </t>
    </r>
    <r>
      <rPr>
        <u/>
        <sz val="12"/>
        <rFont val="Times New Roman"/>
        <family val="1"/>
      </rPr>
      <t>Combined Revenue Neutral Rate &amp; Budget Hearing Notice</t>
    </r>
    <r>
      <rPr>
        <sz val="12"/>
        <rFont val="Times New Roman"/>
        <family val="1"/>
      </rPr>
      <t xml:space="preserve">: If the subdivision intends to hold a hearing to exceed the RNR, the subdivision may elect to publish the rate and budget hearing together.  This alternate publication may be used for that purpose.  Enter the required information into the green-shaded cells. Print and review the tab (Combined-Rate-Bud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Additionally, the rate hearing information must be published to the taxing subdivision’s website, if maintained.  </t>
    </r>
  </si>
  <si>
    <r>
      <t>c.</t>
    </r>
    <r>
      <rPr>
        <sz val="7"/>
        <rFont val="Times New Roman"/>
        <family val="1"/>
      </rPr>
      <t xml:space="preserve">       </t>
    </r>
    <r>
      <rPr>
        <u/>
        <sz val="12"/>
        <rFont val="Times New Roman"/>
        <family val="1"/>
      </rPr>
      <t>Hearing to Exceed the Revenue Neutral Rate Notice Only</t>
    </r>
    <r>
      <rPr>
        <sz val="12"/>
        <rFont val="Times New Roman"/>
        <family val="1"/>
      </rPr>
      <t xml:space="preserve">: If the subdivision wishes to publish the hearing information to exceed the RNR separately, this alternate publication may be used.  Enter the required information into the green-shaded cells. Print and review the tab (RNR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Additionally, the rate hearing information must be published to the taxing subdivision’s website, if maintained.  </t>
    </r>
  </si>
  <si>
    <r>
      <t>4.</t>
    </r>
    <r>
      <rPr>
        <sz val="12"/>
        <rFont val="Times New Roman"/>
        <family val="1"/>
      </rPr>
      <t xml:space="preserve"> </t>
    </r>
    <r>
      <rPr>
        <u/>
        <sz val="12"/>
        <rFont val="Times New Roman"/>
        <family val="1"/>
      </rPr>
      <t>Certificate (Cert)</t>
    </r>
    <r>
      <rPr>
        <sz val="12"/>
        <rFont val="Times New Roman"/>
        <family val="1"/>
      </rPr>
      <t xml:space="preserve">:  This document is populated with information entered on the fund tabs and input tabs.  If there is incorrect information on the Certificate, do </t>
    </r>
    <r>
      <rPr>
        <u/>
        <sz val="12"/>
        <rFont val="Times New Roman"/>
        <family val="1"/>
      </rPr>
      <t>not</t>
    </r>
    <r>
      <rPr>
        <sz val="12"/>
        <rFont val="Times New Roman"/>
        <family val="1"/>
      </rPr>
      <t xml:space="preserve"> correct the Certificate directly. Correct the fund or input tab that populates the information on the Certificate.  If you cannot correct the error, please contact Municipal Services for assistance. </t>
    </r>
  </si>
  <si>
    <r>
      <t>a.</t>
    </r>
    <r>
      <rPr>
        <sz val="7"/>
        <rFont val="Times New Roman"/>
        <family val="1"/>
      </rPr>
      <t xml:space="preserve">       </t>
    </r>
    <r>
      <rPr>
        <sz val="12"/>
        <rFont val="Times New Roman"/>
        <family val="1"/>
      </rPr>
      <t>If someone other than a municipal employee assists in preparing the budget, please enter the person's or firm's name and address in the green-shaded cells provided at the bottom left.</t>
    </r>
  </si>
  <si>
    <r>
      <t>b.</t>
    </r>
    <r>
      <rPr>
        <sz val="7"/>
        <rFont val="Times New Roman"/>
        <family val="1"/>
      </rPr>
      <t xml:space="preserve">      </t>
    </r>
    <r>
      <rPr>
        <sz val="12"/>
        <rFont val="Times New Roman"/>
        <family val="1"/>
      </rPr>
      <t xml:space="preserve">This is a required document and must be included in the adopted budget submitted to the County Clerk. </t>
    </r>
  </si>
  <si>
    <r>
      <t>5.</t>
    </r>
    <r>
      <rPr>
        <sz val="12"/>
        <rFont val="Times New Roman"/>
        <family val="1"/>
      </rPr>
      <t xml:space="preserve">  </t>
    </r>
    <r>
      <rPr>
        <u/>
        <sz val="12"/>
        <rFont val="Times New Roman"/>
        <family val="1"/>
      </rPr>
      <t>Allocation of MV, RV, 16/20M, Commercial Vehicle and Watercraft Tax Estimates (Mvalloc)</t>
    </r>
    <r>
      <rPr>
        <sz val="12"/>
        <rFont val="Times New Roman"/>
        <family val="1"/>
      </rPr>
      <t>: This information populated from the information entered on inputPrYr and inputOth.  Once calculated, the motor allocation information is linked to the applicable fund pages. If information concerning on this tab is not correct, do not make changes to this tab, but rather correct the information on inputPrYr and/or inputOth.</t>
    </r>
  </si>
  <si>
    <r>
      <t>a.</t>
    </r>
    <r>
      <rPr>
        <sz val="7"/>
        <rFont val="Times New Roman"/>
        <family val="1"/>
      </rPr>
      <t xml:space="preserve">       </t>
    </r>
    <r>
      <rPr>
        <sz val="12"/>
        <rFont val="Times New Roman"/>
        <family val="1"/>
      </rPr>
      <t xml:space="preserve">This is a required document and must be included in the adopted budget submitted to the County Clerk. </t>
    </r>
  </si>
  <si>
    <r>
      <t>6.</t>
    </r>
    <r>
      <rPr>
        <sz val="12"/>
        <rFont val="Times New Roman"/>
        <family val="1"/>
      </rPr>
      <t xml:space="preserve"> </t>
    </r>
    <r>
      <rPr>
        <u/>
        <sz val="12"/>
        <rFont val="Times New Roman"/>
        <family val="1"/>
      </rPr>
      <t>Schedule of Transfers (Transfers)</t>
    </r>
    <r>
      <rPr>
        <sz val="12"/>
        <rFont val="Times New Roman"/>
        <family val="1"/>
      </rPr>
      <t xml:space="preserve">:  This document reports all actual, current, and proposed transfers for the taxing subdivision. Provide the statute that authorizes the transfer. The Transfer Statutes (Transfer Statutes) tab lists applicable transfer statutes for reference. If Home Rule is applied, provide the charter ordinance number in place of the statute. </t>
    </r>
  </si>
  <si>
    <r>
      <t>a.</t>
    </r>
    <r>
      <rPr>
        <sz val="7"/>
        <rFont val="Times New Roman"/>
        <family val="1"/>
      </rPr>
      <t xml:space="preserve">      </t>
    </r>
    <r>
      <rPr>
        <sz val="12"/>
        <rFont val="Times New Roman"/>
        <family val="1"/>
      </rPr>
      <t xml:space="preserve">The transfers are totaled at the bottom of the schedule and the aggregate transfer amount is linked to the hearing notice pages.    </t>
    </r>
  </si>
  <si>
    <r>
      <t>b.</t>
    </r>
    <r>
      <rPr>
        <sz val="7"/>
        <rFont val="Times New Roman"/>
        <family val="1"/>
      </rPr>
      <t xml:space="preserve">       </t>
    </r>
    <r>
      <rPr>
        <sz val="12"/>
        <rFont val="Times New Roman"/>
        <family val="1"/>
      </rPr>
      <t xml:space="preserve">Adjustments are made for only those non-budgeted expenditure transfers appearing in the current and/or proposed columns of the schedule and do not have expenditures shown in the hearing notice current and proposed columns. These types of transfers are not truly an expenditure at this time and as such an adjustment is needed to show the taxpayers the actual expenditures for the municipality. </t>
    </r>
  </si>
  <si>
    <r>
      <t>c.</t>
    </r>
    <r>
      <rPr>
        <sz val="7"/>
        <rFont val="Times New Roman"/>
        <family val="1"/>
      </rPr>
      <t xml:space="preserve">      </t>
    </r>
    <r>
      <rPr>
        <sz val="12"/>
        <rFont val="Times New Roman"/>
        <family val="1"/>
      </rPr>
      <t>Each transfer listed must be recorded on the appropriate fund pages (tabs) the individual completed fund pages.</t>
    </r>
  </si>
  <si>
    <r>
      <t>d.</t>
    </r>
    <r>
      <rPr>
        <sz val="7"/>
        <rFont val="Times New Roman"/>
        <family val="1"/>
      </rPr>
      <t xml:space="preserve">       </t>
    </r>
    <r>
      <rPr>
        <sz val="12"/>
        <rFont val="Times New Roman"/>
        <family val="1"/>
      </rPr>
      <t xml:space="preserve">If there are no transfers, leave as zeroes. This document must be included in the adopted budget submitted to the County Clerk. </t>
    </r>
  </si>
  <si>
    <r>
      <t>7.</t>
    </r>
    <r>
      <rPr>
        <sz val="12"/>
        <rFont val="Times New Roman"/>
        <family val="1"/>
      </rPr>
      <t xml:space="preserve">  </t>
    </r>
    <r>
      <rPr>
        <u/>
        <sz val="12"/>
        <rFont val="Times New Roman"/>
        <family val="1"/>
      </rPr>
      <t>Statement of Indebtedness (Debt)</t>
    </r>
    <r>
      <rPr>
        <sz val="12"/>
        <rFont val="Times New Roman"/>
        <family val="1"/>
      </rPr>
      <t xml:space="preserve">: This document must show all of the debt owed or proposed to be issued.  The general obligation and revenue bond totals for the budget year are linked to the hearing notice pages.  </t>
    </r>
  </si>
  <si>
    <r>
      <t>a.</t>
    </r>
    <r>
      <rPr>
        <sz val="7"/>
        <rFont val="Times New Roman"/>
        <family val="1"/>
      </rPr>
      <t xml:space="preserve">       </t>
    </r>
    <r>
      <rPr>
        <sz val="12"/>
        <rFont val="Times New Roman"/>
        <family val="1"/>
      </rPr>
      <t xml:space="preserve">If the taxing subdivision does not have any debt, enter “None” on the first line. This document must be included in the adopted budget submitted to the County Clerk. </t>
    </r>
  </si>
  <si>
    <r>
      <t>8.</t>
    </r>
    <r>
      <rPr>
        <sz val="12"/>
        <rFont val="Times New Roman"/>
        <family val="1"/>
      </rPr>
      <t xml:space="preserve">  </t>
    </r>
    <r>
      <rPr>
        <u/>
        <sz val="12"/>
        <rFont val="Times New Roman"/>
        <family val="1"/>
      </rPr>
      <t>Statement of Conditional Lease, Lease-Purchases and Certificate of Participation (LP Form)</t>
    </r>
    <r>
      <rPr>
        <sz val="12"/>
        <rFont val="Times New Roman"/>
        <family val="1"/>
      </rPr>
      <t xml:space="preserve">: This document must be completed for all transactions in which the taxing subdivision intends to own the equipment.  Principal Balance Due for the actual year is linked to the hearing notice pages. </t>
    </r>
  </si>
  <si>
    <r>
      <t>a.</t>
    </r>
    <r>
      <rPr>
        <sz val="7"/>
        <rFont val="Times New Roman"/>
        <family val="1"/>
      </rPr>
      <t xml:space="preserve">       </t>
    </r>
    <r>
      <rPr>
        <sz val="12"/>
        <rFont val="Times New Roman"/>
        <family val="1"/>
      </rPr>
      <t>If the taxing subdivision does not have any leases, enter 'None' on the first line. This document must be included in the adopted budget submitted to the County Clerk.</t>
    </r>
  </si>
  <si>
    <r>
      <t>9.</t>
    </r>
    <r>
      <rPr>
        <sz val="12"/>
        <rFont val="Times New Roman"/>
        <family val="1"/>
      </rPr>
      <t xml:space="preserve"> </t>
    </r>
    <r>
      <rPr>
        <u/>
        <sz val="12"/>
        <rFont val="Times New Roman"/>
        <family val="1"/>
      </rPr>
      <t>Worksheet for State Grant-In-Aid to Public Libraries and Regional Library Systems (Library Grant)</t>
    </r>
    <r>
      <rPr>
        <sz val="12"/>
        <rFont val="Times New Roman"/>
        <family val="1"/>
      </rPr>
      <t xml:space="preserve">: This information is populated from the Library fund page and is used to determine if the municipality qualifies for a State grant. If qualified, the bottom of the Library fund page will say “Qualifies for State Library Grant” in red. If not qualified, it will say “See Library Grant tab.”  </t>
    </r>
  </si>
  <si>
    <r>
      <t>a.</t>
    </r>
    <r>
      <rPr>
        <sz val="7"/>
        <rFont val="Times New Roman"/>
        <family val="1"/>
      </rPr>
      <t xml:space="preserve">       </t>
    </r>
    <r>
      <rPr>
        <sz val="12"/>
        <rFont val="Times New Roman"/>
        <family val="1"/>
      </rPr>
      <t>For subdivisions with a library: If the Library fund page is used, the Certificate page will update the Table of Contents to show “Computation to Determine State Library Grant.” This worksheet will be a required document in the adopted budget submitted to the County Clerk.</t>
    </r>
  </si>
  <si>
    <r>
      <t>b.</t>
    </r>
    <r>
      <rPr>
        <sz val="7"/>
        <rFont val="Times New Roman"/>
        <family val="1"/>
      </rPr>
      <t xml:space="preserve">      </t>
    </r>
    <r>
      <rPr>
        <sz val="12"/>
        <rFont val="Times New Roman"/>
        <family val="1"/>
      </rPr>
      <t xml:space="preserve">For subdivisions without a library: No action is required, and this page </t>
    </r>
    <r>
      <rPr>
        <i/>
        <sz val="12"/>
        <rFont val="Times New Roman"/>
        <family val="1"/>
      </rPr>
      <t xml:space="preserve">does not </t>
    </r>
    <r>
      <rPr>
        <sz val="12"/>
        <rFont val="Times New Roman"/>
        <family val="1"/>
      </rPr>
      <t>need to be included in the adopted budget submitted to the County Clerk.</t>
    </r>
  </si>
  <si>
    <r>
      <t>10.</t>
    </r>
    <r>
      <rPr>
        <sz val="12"/>
        <rFont val="Times New Roman"/>
        <family val="1"/>
      </rPr>
      <t xml:space="preserve">  The budget workbook has individual fund sheets such as, but not limited to, General Fund (General), Debt Service and Library levy fund (DebtSvs-Library), levy funds (Levy Page #), Special Highway fund (Spec Hwy), non-levy funds (No Levy Page #) and single no levy funds (Single No Levy Page #).  Only complete the fund pages needed.  </t>
    </r>
    <r>
      <rPr>
        <b/>
        <u/>
        <sz val="12"/>
        <rFont val="Times New Roman"/>
        <family val="1"/>
      </rPr>
      <t>Do not delete unused pages.</t>
    </r>
    <r>
      <rPr>
        <sz val="12"/>
        <rFont val="Times New Roman"/>
        <family val="1"/>
      </rPr>
      <t xml:space="preserve"> When the fund pages are completed, the totals will be shown on the Certificate and hearing notice pages.</t>
    </r>
  </si>
  <si>
    <r>
      <t>a.</t>
    </r>
    <r>
      <rPr>
        <sz val="7"/>
        <rFont val="Times New Roman"/>
        <family val="1"/>
      </rPr>
      <t xml:space="preserve">       </t>
    </r>
    <r>
      <rPr>
        <sz val="12"/>
        <rFont val="Times New Roman"/>
        <family val="1"/>
      </rPr>
      <t>The page number for the General Fund and General Fund Detail do not prepopulate.  Once the page number is manually entered at the bottom of the General Fund page, the correct page number will auto-populate at the bottom of the General Fund Detail page. If the taxing subdivision has a Library Fund, the Library Grant page will auto-populate.</t>
    </r>
  </si>
  <si>
    <r>
      <t>b.</t>
    </r>
    <r>
      <rPr>
        <sz val="7"/>
        <rFont val="Times New Roman"/>
        <family val="1"/>
      </rPr>
      <t xml:space="preserve">      </t>
    </r>
    <r>
      <rPr>
        <sz val="12"/>
        <rFont val="Times New Roman"/>
        <family val="1"/>
      </rPr>
      <t xml:space="preserve">On all tax levy fund pages, see the “Projected Carryover” tool for the proposed budgeted year.   The carryover tool provides insight as what the projected cash might be using figures from the budget being submitted.  The figures used are only estimates and if the actual receipts or expenditures vary, the projected cash carryover will be affected.  </t>
    </r>
    <r>
      <rPr>
        <b/>
        <u/>
        <sz val="12"/>
        <rFont val="Times New Roman"/>
        <family val="1"/>
      </rPr>
      <t>Note</t>
    </r>
    <r>
      <rPr>
        <sz val="12"/>
        <rFont val="Times New Roman"/>
        <family val="1"/>
      </rPr>
      <t>: delinquent taxes are not included in the projected carryover as they have a major impact on the “Desired Carryover” tool.</t>
    </r>
  </si>
  <si>
    <r>
      <t>c.</t>
    </r>
    <r>
      <rPr>
        <sz val="7"/>
        <rFont val="Times New Roman"/>
        <family val="1"/>
      </rPr>
      <t xml:space="preserve">       </t>
    </r>
    <r>
      <rPr>
        <sz val="12"/>
        <rFont val="Times New Roman"/>
        <family val="1"/>
      </rPr>
      <t xml:space="preserve">On all tax levy fund page, see the “Desired Carryover” tool. This is used to estimate a desired carryover amount and show the estimated mill rate impact along with the expenditure adjustments required to reach the desired carryover.  </t>
    </r>
    <r>
      <rPr>
        <b/>
        <u/>
        <sz val="12"/>
        <rFont val="Times New Roman"/>
        <family val="1"/>
      </rPr>
      <t>Note</t>
    </r>
    <r>
      <rPr>
        <sz val="12"/>
        <rFont val="Times New Roman"/>
        <family val="1"/>
      </rPr>
      <t>: if a delinquency rate is used, the tool may require several adjustments to get the desired amount or close to the desire amount.</t>
    </r>
  </si>
  <si>
    <r>
      <t>d.</t>
    </r>
    <r>
      <rPr>
        <sz val="7"/>
        <rFont val="Times New Roman"/>
        <family val="1"/>
      </rPr>
      <t xml:space="preserve">      </t>
    </r>
    <r>
      <rPr>
        <sz val="12"/>
        <rFont val="Times New Roman"/>
        <family val="1"/>
      </rPr>
      <t xml:space="preserve">On all tax levy fund pages, we have placed “Estimated Mill Rate &amp; Revenue Neutral Rate Comparison” tool. This tool is used to illustrate and compare the fund rates (both estimated and current year) as well as the total rates (estimated and current year). Additionally, users will see the RNR to determine whether the process in KSA 79-2988 should be followed. If a RNR hearing is required, “Yes” will appear in a red box, and a red statement with additional instruction will appear. </t>
    </r>
  </si>
  <si>
    <r>
      <t>e.</t>
    </r>
    <r>
      <rPr>
        <sz val="7"/>
        <rFont val="Times New Roman"/>
        <family val="1"/>
      </rPr>
      <t xml:space="preserve">       </t>
    </r>
    <r>
      <rPr>
        <u/>
        <sz val="12"/>
        <rFont val="Times New Roman"/>
        <family val="1"/>
      </rPr>
      <t>General Detail Page (General Detail)</t>
    </r>
    <r>
      <rPr>
        <sz val="12"/>
        <rFont val="Times New Roman"/>
        <family val="1"/>
      </rPr>
      <t xml:space="preserve">:  This page shows detailed expenditures for the General Fund departments.  If used, you will input each department name and expenditures on this page </t>
    </r>
    <r>
      <rPr>
        <i/>
        <sz val="12"/>
        <rFont val="Times New Roman"/>
        <family val="1"/>
      </rPr>
      <t xml:space="preserve">and </t>
    </r>
    <r>
      <rPr>
        <sz val="12"/>
        <rFont val="Times New Roman"/>
        <family val="1"/>
      </rPr>
      <t xml:space="preserve">input the department name and </t>
    </r>
    <r>
      <rPr>
        <u/>
        <sz val="12"/>
        <rFont val="Times New Roman"/>
        <family val="1"/>
      </rPr>
      <t>total</t>
    </r>
    <r>
      <rPr>
        <sz val="12"/>
        <rFont val="Times New Roman"/>
        <family val="1"/>
      </rPr>
      <t xml:space="preserve"> expenditures on the General Fund page. Department transfers should be shown on the General Fund page only. Departments with like transfers may be shown together on the General Fund page as single line items. For example: if several departments have a transfer for equipment reserve, the total of all equipment reserve transfers should be shown on the General Fund page as “Transfer to Equipment Reserve” for each budgeted year.</t>
    </r>
  </si>
  <si>
    <r>
      <t>f.</t>
    </r>
    <r>
      <rPr>
        <sz val="7"/>
        <rFont val="Times New Roman"/>
        <family val="1"/>
      </rPr>
      <t xml:space="preserve">        </t>
    </r>
    <r>
      <rPr>
        <sz val="12"/>
        <rFont val="Times New Roman"/>
        <family val="1"/>
      </rPr>
      <t xml:space="preserve">Each tax levy fund will have an expenditure line for neighborhood revitalization.  Only input the rebate amounts for the </t>
    </r>
    <r>
      <rPr>
        <b/>
        <sz val="12"/>
        <rFont val="Times New Roman"/>
        <family val="1"/>
      </rPr>
      <t>actual and current year</t>
    </r>
    <r>
      <rPr>
        <sz val="12"/>
        <rFont val="Times New Roman"/>
        <family val="1"/>
      </rPr>
      <t xml:space="preserve">.  The proposed budget year amount will be computed for you. Please see step 12 for neighborhood revitalization rebate instructions for the proposed budget year. </t>
    </r>
  </si>
  <si>
    <r>
      <t>g.</t>
    </r>
    <r>
      <rPr>
        <sz val="7"/>
        <rFont val="Times New Roman"/>
        <family val="1"/>
      </rPr>
      <t xml:space="preserve">      </t>
    </r>
    <r>
      <rPr>
        <u/>
        <sz val="12"/>
        <rFont val="Times New Roman"/>
        <family val="1"/>
      </rPr>
      <t>Optional</t>
    </r>
    <r>
      <rPr>
        <sz val="12"/>
        <rFont val="Times New Roman"/>
        <family val="1"/>
      </rPr>
      <t xml:space="preserve">: All levy fund pages have a Non-Appropriated Balance cell. It is not mandatory enter an amount or the Non-Appropriated Balance.  KSA 79-2927 allows the taxing subdivision to enter an amount not to exceed 5% of the total expenditures for each fund. If the amount entered in the cell exceeds the 5%, a warning "Exceeds 5%" will appear and the block will turn red.  In order to remove this warning message, you must reduce the non-appropriated amount. </t>
    </r>
  </si>
  <si>
    <r>
      <t>h.</t>
    </r>
    <r>
      <rPr>
        <sz val="7"/>
        <rFont val="Times New Roman"/>
        <family val="1"/>
      </rPr>
      <t xml:space="preserve">      </t>
    </r>
    <r>
      <rPr>
        <sz val="12"/>
        <rFont val="Times New Roman"/>
        <family val="1"/>
      </rPr>
      <t xml:space="preserve">Each fund page has a “Miscellaneous” receipt and expenditure line item.  Once an amount has been entered into the cell for actual/current/proposed columns, the amount will be compared with either total expenditures or total receipts to determine if it exceeds the 10% Rule in KSA 79-2927.  If the amount exceeds the 10% Rule, the block will turn red, the amount bolded, and “Exceed 10% Rule” will appear in red.  To remove the statement and return the block to normal, you must reduce the amount to either 10% or less. </t>
    </r>
    <r>
      <rPr>
        <b/>
        <u/>
        <sz val="12"/>
        <rFont val="Times New Roman"/>
        <family val="1"/>
      </rPr>
      <t>Note</t>
    </r>
    <r>
      <rPr>
        <sz val="12"/>
        <rFont val="Times New Roman"/>
        <family val="1"/>
      </rPr>
      <t>: Under the proposed column, the miscellaneous receipt takes into consideration the amount of ad valorem taxes in determining the 10% Rule.</t>
    </r>
  </si>
  <si>
    <r>
      <t>i.</t>
    </r>
    <r>
      <rPr>
        <sz val="7"/>
        <rFont val="Times New Roman"/>
        <family val="1"/>
      </rPr>
      <t xml:space="preserve">        </t>
    </r>
    <r>
      <rPr>
        <u/>
        <sz val="12"/>
        <rFont val="Times New Roman"/>
        <family val="1"/>
      </rPr>
      <t>Debt Service fund page (DebtSvs-Library)</t>
    </r>
    <r>
      <rPr>
        <sz val="12"/>
        <rFont val="Times New Roman"/>
        <family val="1"/>
      </rPr>
      <t xml:space="preserve">: This fund page may contain all debts owed by the taxing subdivision and the amounts should agree with the Statement of Indebtedness amounts.  Debts that are pledged from a revenue stream should have enough funds transferred into the Debt Service fund to cover the bond principal and interest for these debts. </t>
    </r>
    <r>
      <rPr>
        <b/>
        <u/>
        <sz val="12"/>
        <rFont val="Times New Roman"/>
        <family val="1"/>
      </rPr>
      <t>Note</t>
    </r>
    <r>
      <rPr>
        <sz val="12"/>
        <rFont val="Times New Roman"/>
        <family val="1"/>
      </rPr>
      <t>: Debts pledged from revenue streams are not required to be included in the Debt Service fund page but can be paid from the fund in which the revenue stream is located. If the taxing subdivision has No Fund warrants, these can be included in the Debt Service fund page and levy taxes for this debt. No Fund warrants are not required to be included in the Debt Service fund and may have a separate Tax Levy Fund to account for them.</t>
    </r>
  </si>
  <si>
    <t xml:space="preserve">See step 9 for detailed instruction on the library fund. </t>
  </si>
  <si>
    <r>
      <t>j.</t>
    </r>
    <r>
      <rPr>
        <sz val="7"/>
        <rFont val="Times New Roman"/>
        <family val="1"/>
      </rPr>
      <t xml:space="preserve">        </t>
    </r>
    <r>
      <rPr>
        <u/>
        <sz val="12"/>
        <rFont val="Times New Roman"/>
        <family val="1"/>
      </rPr>
      <t>Funds with No Tax Levy fund page (No Levy Page #)</t>
    </r>
    <r>
      <rPr>
        <sz val="12"/>
        <rFont val="Times New Roman"/>
        <family val="1"/>
      </rPr>
      <t xml:space="preserve">:  These pages will be used to budget any fund that does not have the authority or need to levy an ad valorem property tax. These funds will have revenues of fees, sales tax, license, enterprise, etc.  </t>
    </r>
  </si>
  <si>
    <r>
      <t>k.</t>
    </r>
    <r>
      <rPr>
        <sz val="7"/>
        <rFont val="Times New Roman"/>
        <family val="1"/>
      </rPr>
      <t xml:space="preserve">      </t>
    </r>
    <r>
      <rPr>
        <u/>
        <sz val="12"/>
        <rFont val="Times New Roman"/>
        <family val="1"/>
      </rPr>
      <t>Single No Tax Levy fund page (Single No Levy Page #)</t>
    </r>
    <r>
      <rPr>
        <sz val="12"/>
        <rFont val="Times New Roman"/>
        <family val="1"/>
      </rPr>
      <t>: These pages are for funds with numerous lines for receipts or expenditures that do not fit on one of the other no levy fund pages.  Additional lines may be added as needed. Please contact Municipal Services for assistance.</t>
    </r>
  </si>
  <si>
    <r>
      <t>l.</t>
    </r>
    <r>
      <rPr>
        <sz val="7"/>
        <rFont val="Times New Roman"/>
        <family val="1"/>
      </rPr>
      <t xml:space="preserve">        </t>
    </r>
    <r>
      <rPr>
        <u/>
        <sz val="12"/>
        <rFont val="Times New Roman"/>
        <family val="1"/>
      </rPr>
      <t>Non-Budgeted Funds (Non-Budgeted Funds)</t>
    </r>
    <r>
      <rPr>
        <sz val="12"/>
        <rFont val="Times New Roman"/>
        <family val="1"/>
      </rPr>
      <t xml:space="preserve">: The non-budgeted funds are only required to show the actual year receipts and expenditures. The expenditures total will populate the hearing notice page. Normally, the unencumbered cash balance should end with a positive cash balance.  If it ends with a negative, the worksheet will indicate the negative balance by displaying “See Tab B” in red under the unencumbered cash balance. Use Tab B to determine if corrective action is available.  </t>
    </r>
  </si>
  <si>
    <r>
      <t>m.</t>
    </r>
    <r>
      <rPr>
        <sz val="7"/>
        <rFont val="Times New Roman"/>
        <family val="1"/>
      </rPr>
      <t xml:space="preserve">    </t>
    </r>
    <r>
      <rPr>
        <u/>
        <sz val="12"/>
        <rFont val="Times New Roman"/>
        <family val="1"/>
      </rPr>
      <t>Tab A and Tab B</t>
    </r>
    <r>
      <rPr>
        <sz val="12"/>
        <rFont val="Times New Roman"/>
        <family val="1"/>
      </rPr>
      <t xml:space="preserve">: If the </t>
    </r>
    <r>
      <rPr>
        <i/>
        <sz val="12"/>
        <rFont val="Times New Roman"/>
        <family val="1"/>
      </rPr>
      <t>prior year</t>
    </r>
    <r>
      <rPr>
        <sz val="12"/>
        <rFont val="Times New Roman"/>
        <family val="1"/>
      </rPr>
      <t xml:space="preserve"> total expenditures on any budgeted fund page exceeds the budget authority amount, "See Tab A" will appear in red to indicate a possible prior year budget law violation.  If a fund ended the prior year with a negative cash balance, "See Tab B" will appear in red to indicate a possible prior year cash basis law violation.  Use Tab A and Tab B to determine if corrective action is available.</t>
    </r>
  </si>
  <si>
    <r>
      <t>n.</t>
    </r>
    <r>
      <rPr>
        <sz val="7"/>
        <rFont val="Times New Roman"/>
        <family val="1"/>
      </rPr>
      <t xml:space="preserve">      </t>
    </r>
    <r>
      <rPr>
        <u/>
        <sz val="12"/>
        <rFont val="Times New Roman"/>
        <family val="1"/>
      </rPr>
      <t>Tab C and Tab D</t>
    </r>
    <r>
      <rPr>
        <sz val="12"/>
        <rFont val="Times New Roman"/>
        <family val="1"/>
      </rPr>
      <t xml:space="preserve">: If the </t>
    </r>
    <r>
      <rPr>
        <i/>
        <sz val="12"/>
        <rFont val="Times New Roman"/>
        <family val="1"/>
      </rPr>
      <t>current year</t>
    </r>
    <r>
      <rPr>
        <sz val="12"/>
        <rFont val="Times New Roman"/>
        <family val="1"/>
      </rPr>
      <t xml:space="preserve"> adjusted expenditures on any budgeted fund page exceeds the budget authority amount, “See Tab C” will appear in red to indicate a possible current year budget law violation. If a fund ends the current year with a negative cash balance "See Tab D" will appear in red to indicate a possible current year cash basis law violation. Use Tab C and Tab D to determine if corrective action is available.</t>
    </r>
  </si>
  <si>
    <r>
      <t>o.</t>
    </r>
    <r>
      <rPr>
        <sz val="7"/>
        <rFont val="Times New Roman"/>
        <family val="1"/>
      </rPr>
      <t xml:space="preserve">      </t>
    </r>
    <r>
      <rPr>
        <u/>
        <sz val="12"/>
        <rFont val="Times New Roman"/>
        <family val="1"/>
      </rPr>
      <t>Tab E</t>
    </r>
    <r>
      <rPr>
        <sz val="12"/>
        <rFont val="Times New Roman"/>
        <family val="1"/>
      </rPr>
      <t xml:space="preserve">: If the </t>
    </r>
    <r>
      <rPr>
        <i/>
        <sz val="12"/>
        <rFont val="Times New Roman"/>
        <family val="1"/>
      </rPr>
      <t>proposed budget</t>
    </r>
    <r>
      <rPr>
        <sz val="12"/>
        <rFont val="Times New Roman"/>
        <family val="1"/>
      </rPr>
      <t xml:space="preserve"> cash balance is negative, “See Tab E” will appear in red to indicate a possible proposed budget year budget law violation. Use Tab E to determine if corrective action is available. </t>
    </r>
  </si>
  <si>
    <r>
      <t>11.</t>
    </r>
    <r>
      <rPr>
        <sz val="12"/>
        <rFont val="Times New Roman"/>
        <family val="1"/>
      </rPr>
      <t xml:space="preserve">  </t>
    </r>
    <r>
      <rPr>
        <u/>
        <sz val="12"/>
        <rFont val="Times New Roman"/>
        <family val="1"/>
      </rPr>
      <t>Hearing Notices (Budget Hearing Notice), (Combined Rate-Bud Hearing Notice), (RNR Hearing Notice)</t>
    </r>
    <r>
      <rPr>
        <sz val="12"/>
        <rFont val="Times New Roman"/>
        <family val="1"/>
      </rPr>
      <t xml:space="preserve">: These pages will populate the required information from other worksheets.  If you find information that is not correct, please go to the worksheet from which the information originates to make the correction. If you cannot correct the error, please contact Municipal Services for assistance.   </t>
    </r>
  </si>
  <si>
    <r>
      <t>a.</t>
    </r>
    <r>
      <rPr>
        <sz val="7"/>
        <rFont val="Times New Roman"/>
        <family val="1"/>
      </rPr>
      <t xml:space="preserve">       </t>
    </r>
    <r>
      <rPr>
        <sz val="12"/>
        <rFont val="Times New Roman"/>
        <family val="1"/>
      </rPr>
      <t>The inputHearing tab is used to place information on the respective hearing notice options.  On input tab you will key in the following information: Name of Person presenting the budget, Title of Person, date the budget hearing will be held, time of the hearing, location of the budget hearing, and a place whereas the taxpayers can obtain a copy of the budget.</t>
    </r>
  </si>
  <si>
    <r>
      <t>b.</t>
    </r>
    <r>
      <rPr>
        <sz val="7"/>
        <rFont val="Times New Roman"/>
        <family val="1"/>
      </rPr>
      <t xml:space="preserve">      </t>
    </r>
    <r>
      <rPr>
        <sz val="12"/>
        <rFont val="Times New Roman"/>
        <family val="1"/>
      </rPr>
      <t>At the bottom of the hearing notice pages is a green-shaded cell, enter the page number.</t>
    </r>
  </si>
  <si>
    <r>
      <t>c.</t>
    </r>
    <r>
      <rPr>
        <sz val="7"/>
        <rFont val="Times New Roman"/>
        <family val="1"/>
      </rPr>
      <t xml:space="preserve">       </t>
    </r>
    <r>
      <rPr>
        <u/>
        <sz val="12"/>
        <rFont val="Times New Roman"/>
        <family val="1"/>
      </rPr>
      <t>Optional Tools</t>
    </r>
    <r>
      <rPr>
        <sz val="12"/>
        <rFont val="Times New Roman"/>
        <family val="1"/>
      </rPr>
      <t>: The following tools are not required to be used but are designed for different budget targets.</t>
    </r>
  </si>
  <si>
    <r>
      <t xml:space="preserve"> </t>
    </r>
    <r>
      <rPr>
        <sz val="12"/>
        <rFont val="Times New Roman"/>
        <family val="1"/>
      </rPr>
      <t>i.</t>
    </r>
    <r>
      <rPr>
        <sz val="7"/>
        <rFont val="Times New Roman"/>
        <family val="1"/>
      </rPr>
      <t xml:space="preserve">      </t>
    </r>
    <r>
      <rPr>
        <sz val="12"/>
        <rFont val="Times New Roman"/>
        <family val="1"/>
      </rPr>
      <t xml:space="preserve">The “Estimated Value of One Mill” tool shows what 1 mill rate would generate in dollars for the municipality, based on the estimated valuation input on the inputOth tab.  </t>
    </r>
  </si>
  <si>
    <r>
      <rPr>
        <sz val="12"/>
        <rFont val="Times New Roman"/>
        <family val="1"/>
      </rPr>
      <t>ii.</t>
    </r>
    <r>
      <rPr>
        <sz val="7"/>
        <rFont val="Times New Roman"/>
        <family val="1"/>
      </rPr>
      <t xml:space="preserve">      </t>
    </r>
    <r>
      <rPr>
        <sz val="12"/>
        <rFont val="Times New Roman"/>
        <family val="1"/>
      </rPr>
      <t xml:space="preserve">The “What the Mill Rate the Same As” and “Impact on Keeping the Same Mill Rate” tools show the impact if the previous mill rate is used for the proposed budgeted year.  To achieve this mill rate, the tax levy fund expenditures will need to be changed by the amount shown.  Depending upon the number of tax levy funds involved, the change can be made to one fund, combination of funds, or all tax levy fund expenditures.  </t>
    </r>
    <r>
      <rPr>
        <u/>
        <sz val="12"/>
        <rFont val="Times New Roman"/>
        <family val="1"/>
      </rPr>
      <t>Note</t>
    </r>
    <r>
      <rPr>
        <sz val="12"/>
        <rFont val="Times New Roman"/>
        <family val="1"/>
      </rPr>
      <t xml:space="preserve">: If a delinquency rate is used on the tax levy fund pages, the tool may require several adjustments to get the desired result or close to the desired amount. </t>
    </r>
  </si>
  <si>
    <r>
      <rPr>
        <sz val="12"/>
        <rFont val="Times New Roman"/>
        <family val="1"/>
      </rPr>
      <t>iii.</t>
    </r>
    <r>
      <rPr>
        <sz val="7"/>
        <rFont val="Times New Roman"/>
        <family val="1"/>
      </rPr>
      <t xml:space="preserve">      </t>
    </r>
    <r>
      <rPr>
        <sz val="12"/>
        <rFont val="Times New Roman"/>
        <family val="1"/>
      </rPr>
      <t>The “Mill Rate Estimates versus Mill Rate Target” tool allows the municipality to enter a target mill rate and compare such rate with the estimated rate, as well as the RNR.  This tool will show the amount of expenditure adjustments required to hit the rate target. If a rate hearing/resolution is required based on the estimated mill rate, a red warning “Yes” and a statement “Follow procedure prescribed by KSA 79-2988 to exceed the Revenue Neutral Rate” will appear.</t>
    </r>
  </si>
  <si>
    <r>
      <t>d.</t>
    </r>
    <r>
      <rPr>
        <sz val="7"/>
        <rFont val="Times New Roman"/>
        <family val="1"/>
      </rPr>
      <t xml:space="preserve">      </t>
    </r>
    <r>
      <rPr>
        <sz val="12"/>
        <rFont val="Times New Roman"/>
        <family val="1"/>
      </rPr>
      <t xml:space="preserve"> Before printing, review the selected hearing notice to ensure the information has accurately populated and the figures are correct. Print the page, have an official sign it, and submit to the local newspaper for printing. For those municipalities that are electronically sending the summary to the newspaper, you can type in the official name before sending.  Signing the document is desired, but not signing will not cause the municipality to reprint. </t>
    </r>
    <r>
      <rPr>
        <b/>
        <sz val="12"/>
        <rFont val="Times New Roman"/>
        <family val="1"/>
      </rPr>
      <t>WARNING</t>
    </r>
    <r>
      <rPr>
        <sz val="12"/>
        <rFont val="Times New Roman"/>
        <family val="1"/>
      </rPr>
      <t>: The newspaper publication must occur at least 10 days prior to the hearing date.  If the newspaper publication is not at least 10 days prior to the hearing, the municipality may need to republish.</t>
    </r>
  </si>
  <si>
    <t xml:space="preserve">Once the hearing notice has been printed in the local newspaper, please review the notice to ensure the information was correctly printed and readable.  If the information is not correct, the notice may need to be republished, and may delay the submission of the budget to the County Clerk and the timeline prescribed by KSA 79-2988 to exceed the RNR. </t>
  </si>
  <si>
    <r>
      <t>12.</t>
    </r>
    <r>
      <rPr>
        <sz val="12"/>
        <rFont val="Times New Roman"/>
        <family val="1"/>
      </rPr>
      <t xml:space="preserve"> </t>
    </r>
    <r>
      <rPr>
        <u/>
        <sz val="12"/>
        <rFont val="Times New Roman"/>
        <family val="1"/>
      </rPr>
      <t>Neighborhood Revitalization (NR Rebate)</t>
    </r>
    <r>
      <rPr>
        <sz val="12"/>
        <rFont val="Times New Roman"/>
        <family val="1"/>
      </rPr>
      <t xml:space="preserve">: This document should be completed only after all tax levy fund pages have been completed and the estimated levy rates have been computed on the Budget Summary page.  The ad valorem amounts for each fund will be input into the neighborhood revitalization tool.  The tool will compute the estimated amount of rebate and populate the estimated rebate to each tax levy fund page. This will cause each tax levy fund to have an entry in the neighborhood revitalization expenditure cell, increase the total expenditures amount, recompute the ad valorem needed, and populate the new amount to the hearing notice page.  </t>
    </r>
  </si>
  <si>
    <r>
      <t>Note</t>
    </r>
    <r>
      <rPr>
        <sz val="12"/>
        <rFont val="Times New Roman"/>
        <family val="1"/>
      </rPr>
      <t>: If you had already set the ad valorem taxes so that they were equal to or below the Revenue Neutral Rate (RNR), the neighborhood revitalization rebate could cause the ad valorem tax amount to exceed RNR. If this occurs, you have three options:1) accept the rebate expenditures and pass the RNR resolution; 2) accept the rebate expenditures and reduce other expenditures to reduce ad valorem tax dollars below the RNR threshold; or 3) do not use the rebate expenditures by deleting the ad valorem taxes that were keyed into the Neighborhood Revitalization tool.</t>
    </r>
  </si>
  <si>
    <r>
      <t>a.</t>
    </r>
    <r>
      <rPr>
        <sz val="7"/>
        <rFont val="Times New Roman"/>
        <family val="1"/>
      </rPr>
      <t xml:space="preserve">       </t>
    </r>
    <r>
      <rPr>
        <sz val="12"/>
        <rFont val="Times New Roman"/>
        <family val="1"/>
      </rPr>
      <t xml:space="preserve">You are </t>
    </r>
    <r>
      <rPr>
        <i/>
        <sz val="12"/>
        <rFont val="Times New Roman"/>
        <family val="1"/>
      </rPr>
      <t>not</t>
    </r>
    <r>
      <rPr>
        <sz val="12"/>
        <rFont val="Times New Roman"/>
        <family val="1"/>
      </rPr>
      <t xml:space="preserve"> required to use the Neighborhood Revitalization tool. The tool can be used to estimate the amount of the rebate so that you will have an idea of the amount of ad valorem taxes you will not be receiving. If the municipality chooses not to use the tool, another method of estimating the Neighborhood Revitalization rebate impact should be substituted.</t>
    </r>
  </si>
  <si>
    <r>
      <t>b.</t>
    </r>
    <r>
      <rPr>
        <sz val="7"/>
        <rFont val="Times New Roman"/>
        <family val="1"/>
      </rPr>
      <t xml:space="preserve">      </t>
    </r>
    <r>
      <rPr>
        <sz val="12"/>
        <rFont val="Times New Roman"/>
        <family val="1"/>
      </rPr>
      <t xml:space="preserve"> If you do not have Neighborhood Revitalization, you do not need to include this page with the adopted budget submitted to the County Clerk. </t>
    </r>
  </si>
  <si>
    <r>
      <t>13.</t>
    </r>
    <r>
      <rPr>
        <sz val="12"/>
        <rFont val="Times New Roman"/>
        <family val="1"/>
      </rPr>
      <t xml:space="preserve">  Before submission of the budget to the County Clerk, please review the entire document and verify that all amounts are correct.  In addition, the Certificate page needs to be signed by at least one member of the governing body (signatures from the entire governing body are preferred, but not mandatory). </t>
    </r>
  </si>
  <si>
    <r>
      <t>14.</t>
    </r>
    <r>
      <rPr>
        <sz val="12"/>
        <rFont val="Times New Roman"/>
        <family val="1"/>
      </rPr>
      <t xml:space="preserve">  How to Protect and Unprotect a Worksheet: To Unprotect a worksheet, right-click on the tab and select Unprotect Sheet. </t>
    </r>
    <r>
      <rPr>
        <b/>
        <sz val="12"/>
        <color rgb="FFFF0000"/>
        <rFont val="Times New Roman"/>
        <family val="1"/>
      </rPr>
      <t xml:space="preserve">After changes are made you must protect the worksheet. </t>
    </r>
    <r>
      <rPr>
        <sz val="12"/>
        <color rgb="FFFF0000"/>
        <rFont val="Times New Roman"/>
        <family val="1"/>
      </rPr>
      <t xml:space="preserve"> </t>
    </r>
    <r>
      <rPr>
        <sz val="12"/>
        <rFont val="Times New Roman"/>
        <family val="1"/>
      </rPr>
      <t xml:space="preserve">Right click on the tab, select Protect Sheet and hit OK. You do not need to enter a password. Select OK. </t>
    </r>
  </si>
  <si>
    <t>Tab E</t>
  </si>
  <si>
    <t>Tab A</t>
  </si>
  <si>
    <t>Tab B</t>
  </si>
  <si>
    <t>Tab C</t>
  </si>
  <si>
    <t>Tab D</t>
  </si>
  <si>
    <t xml:space="preserve">1. Budget instructions were updated. </t>
  </si>
  <si>
    <t>2. Basic and consistent formatting throughout (including updating fonts, consistent language and print areas)</t>
  </si>
  <si>
    <t>3. Removed (by hiding rows - data is still present in background) new improvements, personal property, terrotory added, changed use, and expiration of tax abatements on "Input Oth" tab</t>
  </si>
  <si>
    <t>4. Updated budget hearing input tab to include inputs for combined hearing notice and rate only notice. Retitled tab "InputBudHearing"</t>
  </si>
  <si>
    <t>5. Updated Budget Hearing Tab formating and consistency</t>
  </si>
  <si>
    <t xml:space="preserve">6. Added alternate Combined Rate and Budget Hearing notice tab for subdivisions that will publish and hold the RNR rate and budget hearing in conjunction with eachother. </t>
  </si>
  <si>
    <t>7. Added RNR Hearing Notice for an optional publication for the RNR hearing only</t>
  </si>
  <si>
    <t xml:space="preserve">8. Added sample resolution to exceed RNR and sample notice to county clerk to report intention to exceed RNR. </t>
  </si>
  <si>
    <t xml:space="preserve">9. Updated helpful links to provide accurate weblinks. </t>
  </si>
  <si>
    <t>https://admin.ks.gov/offices/accounts-reports/local-government/municipal-services</t>
  </si>
  <si>
    <t>https://admin.ks.gov/offices/accounts-reports/state-agencies/finance/setoff-program</t>
  </si>
  <si>
    <t>League of Kansas Municipalities</t>
  </si>
  <si>
    <t>https://www.lkm.org/</t>
  </si>
  <si>
    <t>http://www.kslegislature.org/li/</t>
  </si>
  <si>
    <t>https://ag.ks.gov/media-center/ag-opinions</t>
  </si>
  <si>
    <t>Kansas State Treasurer</t>
  </si>
  <si>
    <t>https://www.kansasstatetreasurer.com/fin_serv.html</t>
  </si>
  <si>
    <t>https://www.ksrevenue.gov/</t>
  </si>
  <si>
    <t>https://www.ksrevenue.gov/pvdindex.html</t>
  </si>
  <si>
    <t>https://pooledmoneyinvestmentboard.com/</t>
  </si>
  <si>
    <t>From the Municipal Services Website (Budget Workbooks and Tax Estimates)</t>
  </si>
  <si>
    <t>Public Hearing Input Options</t>
  </si>
  <si>
    <t>Input Examples</t>
  </si>
  <si>
    <r>
      <t xml:space="preserve">This tab will populate the date, time and location of the public hearing on the selected hearing pages, as well as other required information. Please enter the relevant information in the GREEN cells.
Please review the sections below to determine which hearing notice best fits the needs of the taxing subdivision.  Please contact Municipal Services with questions. 
</t>
    </r>
    <r>
      <rPr>
        <b/>
        <sz val="12"/>
        <rFont val="Times New Roman"/>
        <family val="1"/>
      </rPr>
      <t xml:space="preserve">WARNING: Prior to providing newspaper with hearing notice, review all of the information has properly been input and linked to the publication draft. </t>
    </r>
    <r>
      <rPr>
        <sz val="12"/>
        <rFont val="Times New Roman"/>
        <family val="1"/>
      </rPr>
      <t xml:space="preserve">
</t>
    </r>
  </si>
  <si>
    <t>August 12, 2022</t>
  </si>
  <si>
    <t>Budget Hearing Notice Only</t>
  </si>
  <si>
    <t xml:space="preserve">Taxing subdivisions that do not require a hearing to exceed the revenue neutral rate or will hold/publish the rate hearing separately from the budget hearing, please complete the information in green cells of the "Budget Hearing Notice Only" section. 
You will print the tab "Budget Hearing Notice" and publish this notice in the newspaper at least 10 days prior to the budget hearing. </t>
  </si>
  <si>
    <t xml:space="preserve">Reminder: The notice of hearing must be published at least 10 days prior to hearing date. </t>
  </si>
  <si>
    <t>Budget Available at:</t>
  </si>
  <si>
    <t>Combined Revenue Neutral Rate &amp; Budget Hearing Notice</t>
  </si>
  <si>
    <t xml:space="preserve">Taxing subdivisions that wish to hold a hearing to exceed the revenue neutral rate in conjunction with the regular budget hearing should complete the green cells in the section called "Combined Rate &amp; Budget Hearing Notice". 
You will print the tab called "Combined Rate-Bud Hearing Notice" and publish this notice in the newspaper at least 10 days prior to the hearing date. Addittionally, the taxing subdivision will publish a notice of hearing to exceed the RNR to their website (if maintained).  </t>
  </si>
  <si>
    <t>`</t>
  </si>
  <si>
    <t>Hearing to Exceed the Revenue Neutral Rate Notice Only</t>
  </si>
  <si>
    <t xml:space="preserve">If the taxing subdivisin wishes to hold or publish the hearing to exceed the revenue neutral rate separate from the budget hearing, the subdivision may choose the alternate publication "Hearing to Exceed the Revenue Neutral Rate". Note: If using this option, the subdivision MUST also publish the buget hearing notice. </t>
  </si>
  <si>
    <t>Budget Hearing Notice</t>
  </si>
  <si>
    <t>Combined Rate and Budget Hearing Notice</t>
  </si>
  <si>
    <t>RNR Hearing Notice</t>
  </si>
  <si>
    <t>***If leasing/renting with no intent to purchase, do not list--such transactions are not lease-purchases.</t>
  </si>
  <si>
    <t>Principal Balance</t>
  </si>
  <si>
    <t>As Beginning of</t>
  </si>
  <si>
    <r>
      <t>As provided in KSA 79-2553</t>
    </r>
    <r>
      <rPr>
        <i/>
        <sz val="12"/>
        <rFont val="Times New Roman"/>
        <family val="1"/>
      </rPr>
      <t xml:space="preserve"> et seq., </t>
    </r>
    <r>
      <rPr>
        <sz val="12"/>
        <rFont val="Times New Roman"/>
        <family val="1"/>
      </rPr>
      <t>two tests are used to determine eligibility for State Library Grant.  If the grant is approved, then the municipality's library will be paid the grant on February 15 of  each year.</t>
    </r>
  </si>
  <si>
    <t>completing the Neighborhood Revitalization Rebate table.</t>
  </si>
  <si>
    <t>Resolution No. ______</t>
  </si>
  <si>
    <t>A RESOLUTION OF THE CITY OF __________, KANSAS TO LEVY A PROPERTY TAX RATE EXCEEDING THE REVENUE NEUTRAL RATE;</t>
  </si>
  <si>
    <r>
      <t xml:space="preserve">           </t>
    </r>
    <r>
      <rPr>
        <b/>
        <sz val="12"/>
        <rFont val="Times New Roman"/>
        <family val="1"/>
      </rPr>
      <t>WHEREAS</t>
    </r>
    <r>
      <rPr>
        <sz val="12"/>
        <rFont val="Times New Roman"/>
        <family val="1"/>
      </rPr>
      <t>, the Revenue Neutral Rate for the City of __________ was calculated as _________ mills by the ____________ County Clerk; and</t>
    </r>
  </si>
  <si>
    <r>
      <t xml:space="preserve">           </t>
    </r>
    <r>
      <rPr>
        <b/>
        <sz val="12"/>
        <rFont val="Times New Roman"/>
        <family val="1"/>
      </rPr>
      <t>WHEREAS</t>
    </r>
    <r>
      <rPr>
        <sz val="12"/>
        <rFont val="Times New Roman"/>
        <family val="1"/>
      </rPr>
      <t>, the budget proposed by the Governing Body of the City of __________ will require the levy of a property tax rate exceeding the Revenue Neutral Rate; and</t>
    </r>
  </si>
  <si>
    <r>
      <t xml:space="preserve">           </t>
    </r>
    <r>
      <rPr>
        <b/>
        <sz val="12"/>
        <rFont val="Times New Roman"/>
        <family val="1"/>
      </rPr>
      <t>WHEREAS</t>
    </r>
    <r>
      <rPr>
        <sz val="12"/>
        <rFont val="Times New Roman"/>
        <family val="1"/>
      </rPr>
      <t>, the Governing Body held a hearing on _________ (Insert Date) allowing all interested taxpayers desiring to be heard an opportunity to give oral testimony; and</t>
    </r>
  </si>
  <si>
    <r>
      <t xml:space="preserve">          </t>
    </r>
    <r>
      <rPr>
        <b/>
        <sz val="12"/>
        <rFont val="Times New Roman"/>
        <family val="1"/>
      </rPr>
      <t>WHEREAS</t>
    </r>
    <r>
      <rPr>
        <sz val="12"/>
        <rFont val="Times New Roman"/>
        <family val="1"/>
      </rPr>
      <t>, the Governing Body of the City of ____________, having heard testimony, still finds it necessary to exceed the Revenue Neutral Rate.</t>
    </r>
  </si>
  <si>
    <t xml:space="preserve">          NOW, THEREFORE, BE IT RESOLVED BY THE GOVERNING BODY OF THE CITY OF __________:</t>
  </si>
  <si>
    <t xml:space="preserve">          The City of _________ shall levy a property tax rate exceeding the Revenue Neutral Rate of _________ mills.</t>
  </si>
  <si>
    <t>This resolution shall take effect and be in force immediately upon its adoption and shall remain in effect until future action is taken by the Governing Body.</t>
  </si>
  <si>
    <r>
      <t xml:space="preserve">          </t>
    </r>
    <r>
      <rPr>
        <b/>
        <sz val="12"/>
        <rFont val="Times New Roman"/>
        <family val="1"/>
      </rPr>
      <t>ADOPTED</t>
    </r>
    <r>
      <rPr>
        <sz val="12"/>
        <rFont val="Times New Roman"/>
        <family val="1"/>
      </rPr>
      <t xml:space="preserve"> this ____ day of ___________ (month and year) and SIGNED by the Mayor.</t>
    </r>
  </si>
  <si>
    <t xml:space="preserve">          _____________________________</t>
  </si>
  <si>
    <t xml:space="preserve">          Mayor</t>
  </si>
  <si>
    <t xml:space="preserve">          Attested:</t>
  </si>
  <si>
    <t xml:space="preserve">          ______________________________</t>
  </si>
  <si>
    <t xml:space="preserve">          City Clerk</t>
  </si>
  <si>
    <t>Notice of Revenue Neutral Rate Intent</t>
  </si>
  <si>
    <t>THE GOVERNING BODY OF ________________________, HEREBY NOTIFIES THE ___________ COUNTY CLERK OF INTENT TO EXCEED THE REVENUE NEUTRAL RATE;</t>
  </si>
  <si>
    <t>Yes, we intend to exceed the Revenue Neutral Rate and our proposed mill levy rate is _________.  The date of our hearing is ___________ at _____ AM/PM and will be held at ________________ address in _____________, Kansas.</t>
  </si>
  <si>
    <t>No, we do not plan to exceed the Revenue Neutral Rate and will submit our budget to the County Clerk on or before August 25, 20___.</t>
  </si>
  <si>
    <t>WITNESS my hand and official seal on ____________, 20___.</t>
  </si>
  <si>
    <t>(Seal)</t>
  </si>
  <si>
    <t>Clerk or Officer of Governing Body</t>
  </si>
  <si>
    <t>**Revenue Neutral Rate as defined by KSA 79-2988</t>
  </si>
  <si>
    <t>Budget Authority for Expenditures</t>
  </si>
  <si>
    <t>Actual Tax Rate *</t>
  </si>
  <si>
    <t>Proposed Estimated Tax Rate *</t>
  </si>
  <si>
    <t>Estimated Mill Rate &amp;
 Revenue Neutral Rate Comparison</t>
  </si>
  <si>
    <t>Revenue Neutral Rate (KSA 79-2988)</t>
  </si>
  <si>
    <t>Is a rate hearing/resolution required:</t>
  </si>
  <si>
    <t>Less 2021 Expenditures</t>
  </si>
  <si>
    <t xml:space="preserve">Is rate hearing/resolution required to exceed Revenue Neutral Rate? </t>
  </si>
  <si>
    <t>NOTICE OF HEARING TO EXCEED REVENUE NEUTRAL RATE</t>
  </si>
  <si>
    <t>answering objections of taxpayers relating to revenue neutral rate and proposed tax rate, as required by KSA 79-2988.</t>
  </si>
  <si>
    <t>SUPPORTING COUNTIES</t>
  </si>
  <si>
    <t>Revenue Neutral Rate*</t>
  </si>
  <si>
    <t>Proposed Tax Rate</t>
  </si>
  <si>
    <t>Tax Rates are expressed in mills</t>
  </si>
  <si>
    <t>* Revenue Netural Rate as defined by KSA 79-2988</t>
  </si>
  <si>
    <t>NOTICE OF HEARING TO EXCEED REVENUE NEUTRAL RATE AND BUDGET HEARING</t>
  </si>
  <si>
    <t>Final Tax Rate (County Clerk's Use Only)</t>
  </si>
  <si>
    <t xml:space="preserve">Revenue Neutral Rate </t>
  </si>
  <si>
    <t xml:space="preserve">In short, you are looking at a potential budget law violation. However, the good news is that you </t>
  </si>
  <si>
    <t>may have options available that will allow you to avoid a budget law violation.</t>
  </si>
  <si>
    <r>
      <t xml:space="preserve">If the municipality financial records have </t>
    </r>
    <r>
      <rPr>
        <b/>
        <u/>
        <sz val="12"/>
        <rFont val="Times New Roman"/>
        <family val="1"/>
      </rPr>
      <t>not been</t>
    </r>
    <r>
      <rPr>
        <sz val="12"/>
        <rFont val="Times New Roman"/>
        <family val="1"/>
      </rPr>
      <t xml:space="preserve"> closed (i.e. an audit has not been completed,</t>
    </r>
  </si>
  <si>
    <t>can be fixed before submission of the budget to the county clerk.</t>
  </si>
  <si>
    <t xml:space="preserve">First, review the input page information (inputPrYr tab) to ensure that the correct amount was </t>
  </si>
  <si>
    <t>higher budget amount?</t>
  </si>
  <si>
    <t>are you showing any transfers from this fund to another?  If so, consider whether you can reduce</t>
  </si>
  <si>
    <t>or eliminate one or more transfers.</t>
  </si>
  <si>
    <t>showing the reimbursement as a receipt, show the reimbursement as a negative expenditure.</t>
  </si>
  <si>
    <t>Another option is to consider whether your fund shares expenditures with another fund.  For</t>
  </si>
  <si>
    <t xml:space="preserve"> example, your electric and water funds may split salaries between the two funds.  If one of those </t>
  </si>
  <si>
    <t>funds is in trouble, you might be able to allocate a little more in salaries to the healthy fund in order</t>
  </si>
  <si>
    <t>to eliminate the violation (but be sure that the healthy fund has sufficient budget authority and cash</t>
  </si>
  <si>
    <t xml:space="preserve">The shifting of expenditures between funds, as described in the preceding paragraph, can be </t>
  </si>
  <si>
    <t>accomplished between any funds that share expenses.</t>
  </si>
  <si>
    <t>Finally, if your general fund is healthy - it has enough budget authority and cash - then it might be</t>
  </si>
  <si>
    <t>used to cover the excess expenditures. (AGO No. 85-181)</t>
  </si>
  <si>
    <t>Amending the budget is a timing issue.  In order to amend the budget, you must have the complete</t>
  </si>
  <si>
    <t>amending process completed before the end of the calandar year.  If you start at the beginning of</t>
  </si>
  <si>
    <t>December, then you should have enough time to amend the budget.  But, if started during the middle</t>
  </si>
  <si>
    <t>of December, then you might not have enough time to complete the amending process.  Remember</t>
  </si>
  <si>
    <t xml:space="preserve">the complete processing must be completed on or before the end of December and you must have </t>
  </si>
  <si>
    <t xml:space="preserve">at least 10 days between when published in local newspaper and when the budget hearing is held. </t>
  </si>
  <si>
    <t>So, if your local newspaper only publishes once a week or bi-weekly, then there might not be time</t>
  </si>
  <si>
    <t>enough to have the 10 day requirement between publication and the hearing.</t>
  </si>
  <si>
    <t xml:space="preserve">Amending the budget can be done at any time during the budgeted year.  But, amending the budget </t>
  </si>
  <si>
    <t>should take place before the expenditures exceed the budget authority.</t>
  </si>
  <si>
    <t>No punitive action will be taken as a result of the violation, but you should determine what caused</t>
  </si>
  <si>
    <t>the violation and take steps to avoid future violations of this nature.</t>
  </si>
  <si>
    <t>finished the year with a negative unencumbered cash balance in this fund.</t>
  </si>
  <si>
    <t>However, the good news is that you may have one or more options available that will allow you to</t>
  </si>
  <si>
    <t>Hopefully not. The first thing that you might do is to review K.S.A. 10-1116 to see if your fund</t>
  </si>
  <si>
    <t xml:space="preserve">might be one of those for which a negative cash balance is permitted. </t>
  </si>
  <si>
    <t xml:space="preserve">If the fund falls into one of the categories, then a cash basis law violation has not occurred. Please </t>
  </si>
  <si>
    <t>annotate to the left of the 'See Tab B' as follows:  "10-1116 applies."</t>
  </si>
  <si>
    <r>
      <t xml:space="preserve">What if K.S.A. 10-1116 </t>
    </r>
    <r>
      <rPr>
        <b/>
        <i/>
        <sz val="12"/>
        <rFont val="Times New Roman"/>
        <family val="1"/>
      </rPr>
      <t>does not</t>
    </r>
    <r>
      <rPr>
        <b/>
        <sz val="12"/>
        <rFont val="Times New Roman"/>
        <family val="1"/>
      </rPr>
      <t xml:space="preserve"> apply?</t>
    </r>
  </si>
  <si>
    <t xml:space="preserve">If the fund does not fall into one of the categories, then let's explore your options (below) to see if </t>
  </si>
  <si>
    <t>we can help you avoid a cash basis law violation.</t>
  </si>
  <si>
    <t xml:space="preserve">need to be increased (transfer from another fund) or your expenditures will need to be decreased </t>
  </si>
  <si>
    <t>(shifting of expenditures to another fund), or a combination of the two.</t>
  </si>
  <si>
    <t>Increasing your receipts through one or more transfers is contingent upon the available cash, budget</t>
  </si>
  <si>
    <t>authority, and statutory authority for the transfer from the fund or funds from which one or more</t>
  </si>
  <si>
    <t>transfers might be made.</t>
  </si>
  <si>
    <t xml:space="preserve">Another option for you to consider is the shifting of expenditures from this fund to another fund. </t>
  </si>
  <si>
    <t xml:space="preserve">Again, the fund to which expenditures are shifted must have available cash and budget authority in </t>
  </si>
  <si>
    <t xml:space="preserve">order to absorb the additional expenditures.  </t>
  </si>
  <si>
    <t>What if K.S.A. 10-1116 does not apply and no options are available to me?</t>
  </si>
  <si>
    <t xml:space="preserve">Unfortunately, under this scenario you are pretty much stuck with a cash basis law violation.  </t>
  </si>
  <si>
    <t>However, you can accept the violation as a learning tool to help you prevent violations in the future.</t>
  </si>
  <si>
    <t>Regular reviews of current year budget performance, especially from the end of the third quarter on,</t>
  </si>
  <si>
    <t xml:space="preserve">might allow you to determine in a timely fashion whether an increase in revenue or a decrease in </t>
  </si>
  <si>
    <t>expenditures is going to be needed before the end of the fiscal year in order to ensure that a fund</t>
  </si>
  <si>
    <t>finishes the year in good shape.</t>
  </si>
  <si>
    <t xml:space="preserve">In addition to the options discussed above, during the later part of the year if a utility fund or the </t>
  </si>
  <si>
    <t>general fund has the cash, but not the budget authority, amending the budget might be done in order</t>
  </si>
  <si>
    <t>to increase budget authority so that a transfer can then be made to the struggling fund or, in the case</t>
  </si>
  <si>
    <t xml:space="preserve">of the general fund, there can be a shifting of expenditures from the struggling fund to the general </t>
  </si>
  <si>
    <t xml:space="preserve">If, in the future, you choose to amend the budget as described in the paragraph above, please </t>
  </si>
  <si>
    <t>remember that the amendment must occur before the end of the fiscal year.</t>
  </si>
  <si>
    <t>In short, you are looking at a potential budget law violation if you truly end up the year as your</t>
  </si>
  <si>
    <t>current estimates reflect.  The good news is that you have an early indication of possible issues which</t>
  </si>
  <si>
    <t>can be addressed sooner rather than later.</t>
  </si>
  <si>
    <t xml:space="preserve">Should the potential for a violation be corrected at this time? </t>
  </si>
  <si>
    <t xml:space="preserve">be necessary to ensure that your expenditures do not, at year-end, exceed your budget authority for </t>
  </si>
  <si>
    <t>this fund.</t>
  </si>
  <si>
    <t xml:space="preserve">Well, the easiest thing to do at this time is to increase any underestimated revenue numbers, or </t>
  </si>
  <si>
    <t>decrease any overestimated expenditure numbers, or a combination of the two.</t>
  </si>
  <si>
    <t>What if I check my estimates and find that we're still on pace for a budget law violation?</t>
  </si>
  <si>
    <t xml:space="preserve">are you showing any transfers from this fund to another?  If so, consider whether you can reduce or </t>
  </si>
  <si>
    <t>eliminate one or more transfers.</t>
  </si>
  <si>
    <t>the reimbursement as a receipt, show the reimbursement as a negative expenditure.</t>
  </si>
  <si>
    <t>Another option is to consider whether your fund shares expenditures with another fund.  For example,</t>
  </si>
  <si>
    <t>your electric and water funds may split salaries between the two funds.  If one of those funds is in</t>
  </si>
  <si>
    <t xml:space="preserve">trouble you might be able to allocate a little more in salaries to the healthy fund in order to eliminate </t>
  </si>
  <si>
    <t xml:space="preserve">the potential violation (be sure, though, that the healthy fund has sufficient budget authority and cash </t>
  </si>
  <si>
    <t xml:space="preserve">A sometimes overlooked option is to use your general fund to cover the excess expenditures, </t>
  </si>
  <si>
    <t>assuming that general fund is not the one that's in trouble and that it has the budget authority and cash</t>
  </si>
  <si>
    <t>to absorb additional expenditures.</t>
  </si>
  <si>
    <t>Finally, If none of the above options can be applied and the fund has an unencumbered cash balance</t>
  </si>
  <si>
    <t>which will cover the estimated overage, the budget can be amended before the end of the fiscal year.</t>
  </si>
  <si>
    <t>Remember, the amendment process must occur before the end of the fiscal year.</t>
  </si>
  <si>
    <t>If the fund does not have enough ending cash so that an amendment will cover the expected overage,</t>
  </si>
  <si>
    <t>but another fund does have enough unemcumbered cash (along with budget authority and statutory</t>
  </si>
  <si>
    <t xml:space="preserve">authority to transfer to the fund with the potential budget law violation), go ahead and make the </t>
  </si>
  <si>
    <t>transfer and then amend the budget.</t>
  </si>
  <si>
    <t>that at the end of this year you will have a negative unencumbered cash balance in this fund.</t>
  </si>
  <si>
    <t>Yes. You don't want to end this year with a negative cash balance in the fund.  At a minimum</t>
  </si>
  <si>
    <t>Note: it is possible that this is one of those funds which may, under K.S.A. 10-1116, end the year</t>
  </si>
  <si>
    <t>with a negative cash balance, but otherwise you will want to make sure that it does not.</t>
  </si>
  <si>
    <t>The easiest thing to do at this time is to increase any underestimated revenue numbers, or decrease</t>
  </si>
  <si>
    <t>any overestimated expenditure numbers, or a combination of the two.</t>
  </si>
  <si>
    <t>Either your fund receipts will need to be increased before the end of the year (transfer from another</t>
  </si>
  <si>
    <t xml:space="preserve">fund) or your expenditures will need to be decreased before the end of the year (shifting of </t>
  </si>
  <si>
    <t>expenditures to another fund), or a combination of the two.</t>
  </si>
  <si>
    <r>
      <t xml:space="preserve">showing the reimbursement as a receipt, show the reimbursement as a negative </t>
    </r>
    <r>
      <rPr>
        <i/>
        <sz val="12"/>
        <rFont val="Times New Roman"/>
        <family val="1"/>
      </rPr>
      <t>expenditure.</t>
    </r>
  </si>
  <si>
    <t xml:space="preserve">Another option for you to consider is the shifting of expenditures from this fund to another fund.  </t>
  </si>
  <si>
    <t>Again, the fund to which expenditures are shifted must have available cash and budget authority</t>
  </si>
  <si>
    <t xml:space="preserve"> in order to absorb the additional expenditures.  </t>
  </si>
  <si>
    <t xml:space="preserve">On the revenue side of the fund you might increase your receipts through one or more transfers, </t>
  </si>
  <si>
    <t xml:space="preserve">contingent upon available cash, budget authority, and statutory authority for the transfer from the </t>
  </si>
  <si>
    <t>fund or funds from which one or more transfers might be made.</t>
  </si>
  <si>
    <t>assuming that the general fund is not the one that's in trouble and that it has the budget authority and</t>
  </si>
  <si>
    <t>cash to absorb additional expenditures.</t>
  </si>
  <si>
    <t>Proposed Budget Year - Possible Budget Law Violation No Levy Funds</t>
  </si>
  <si>
    <t>In short, you are looking at a budget law violation if you adopt a budget in which there exists a fund</t>
  </si>
  <si>
    <t>with a negative ending cash balance.</t>
  </si>
  <si>
    <t xml:space="preserve">Yes. Budget law mandates that fund expenditures shall balance with anticipated revenue. A fund </t>
  </si>
  <si>
    <t>ending cash balance should end either in $0 or a positive cash balance.</t>
  </si>
  <si>
    <t xml:space="preserve">The negative cash balance can be remedied by increasing the anticipated receipts or by reducing </t>
  </si>
  <si>
    <t>the proposed expenditures, or a combination of the two.</t>
  </si>
  <si>
    <t xml:space="preserve">If the municipality governing body chooses to adopt a budget whereby the no levy fund has a </t>
  </si>
  <si>
    <t xml:space="preserve">positive ending balance, that's okay.  But, we recommend that the fund be budgeted to end with a </t>
  </si>
  <si>
    <t>$0 balance.</t>
  </si>
  <si>
    <t xml:space="preserve">Why?  Remember that no levy funds do not result in a levy of property tax dollars. So, there is no </t>
  </si>
  <si>
    <t>impimpact to the property taxpayer from a budget which utilizes all anticipated revenue in the</t>
  </si>
  <si>
    <t>upcoming year.</t>
  </si>
  <si>
    <t xml:space="preserve">The advantage of budgeting the no levy fund to end the budget year with a $0 balance is that it </t>
  </si>
  <si>
    <t>provides the municipality with maximum spending authority. In the event the municipality is faced with</t>
  </si>
  <si>
    <t>with unanticipated spending during the budget year it will not need to amend its budget to do so.</t>
  </si>
  <si>
    <r>
      <t xml:space="preserve">Note: by budgeting to $0, the municipality does not have to </t>
    </r>
    <r>
      <rPr>
        <i/>
        <sz val="12"/>
        <rFont val="Times New Roman"/>
        <family val="1"/>
      </rPr>
      <t>spend</t>
    </r>
    <r>
      <rPr>
        <sz val="12"/>
        <rFont val="Times New Roman"/>
        <family val="1"/>
      </rPr>
      <t xml:space="preserve"> down to $0, but the authority to </t>
    </r>
  </si>
  <si>
    <t>do so without a budget amendment is there in the event that a need to do so should arise.</t>
  </si>
  <si>
    <r>
      <t xml:space="preserve">• </t>
    </r>
    <r>
      <rPr>
        <sz val="12"/>
        <color rgb="FF000000"/>
        <rFont val="Calibri"/>
        <family val="2"/>
      </rPr>
      <t>RNR – Rate calculated to compare prior year ad valorem tax to current year estimates</t>
    </r>
  </si>
  <si>
    <r>
      <t xml:space="preserve">• </t>
    </r>
    <r>
      <rPr>
        <sz val="12"/>
        <color rgb="FF000000"/>
        <rFont val="Calibri"/>
        <family val="2"/>
      </rPr>
      <t xml:space="preserve">RNR = (Prior year ad valorem revenue/current year valuation estimate)  X 1,000 </t>
    </r>
  </si>
  <si>
    <t>Note: Revenue used is the final billed tax revenue</t>
  </si>
  <si>
    <t xml:space="preserve">Example: </t>
  </si>
  <si>
    <r>
      <t>RNR = (</t>
    </r>
    <r>
      <rPr>
        <b/>
        <sz val="12"/>
        <color rgb="FFFF0000"/>
        <rFont val="Calibri"/>
        <family val="2"/>
      </rPr>
      <t>A</t>
    </r>
    <r>
      <rPr>
        <sz val="12"/>
        <rFont val="Calibri"/>
        <family val="2"/>
      </rPr>
      <t xml:space="preserve"> $80,773/</t>
    </r>
    <r>
      <rPr>
        <b/>
        <sz val="12"/>
        <color rgb="FFFF0000"/>
        <rFont val="Calibri"/>
        <family val="2"/>
      </rPr>
      <t>B</t>
    </r>
    <r>
      <rPr>
        <sz val="12"/>
        <rFont val="Calibri"/>
        <family val="2"/>
      </rPr>
      <t xml:space="preserve"> 1,323,770) X 1,000  =  </t>
    </r>
    <r>
      <rPr>
        <b/>
        <sz val="12"/>
        <color rgb="FFFF0000"/>
        <rFont val="Calibri"/>
        <family val="2"/>
      </rPr>
      <t>C</t>
    </r>
    <r>
      <rPr>
        <sz val="12"/>
        <rFont val="Calibri"/>
        <family val="2"/>
      </rPr>
      <t xml:space="preserve"> 61.017</t>
    </r>
  </si>
  <si>
    <r>
      <t xml:space="preserve">Prior year mill levy rate was </t>
    </r>
    <r>
      <rPr>
        <b/>
        <sz val="12"/>
        <color rgb="FFFF0000"/>
        <rFont val="Calibri"/>
        <family val="2"/>
      </rPr>
      <t>D</t>
    </r>
    <r>
      <rPr>
        <sz val="12"/>
        <rFont val="Calibri"/>
        <family val="2"/>
      </rPr>
      <t xml:space="preserve"> 66.44</t>
    </r>
  </si>
  <si>
    <t>Prior Year Ad Valorem Revenue</t>
  </si>
  <si>
    <r>
      <rPr>
        <b/>
        <sz val="12"/>
        <color rgb="FFFF0000"/>
        <rFont val="Calibri"/>
        <family val="2"/>
      </rPr>
      <t>A</t>
    </r>
    <r>
      <rPr>
        <sz val="12"/>
        <rFont val="Calibri"/>
        <family val="2"/>
      </rPr>
      <t xml:space="preserve"> The prior year ad valorem revenue comes from the 2023 budget certificate page.  </t>
    </r>
  </si>
  <si>
    <t xml:space="preserve">It is the total for the Amount of 2022 Ad Valorem Tax column. </t>
  </si>
  <si>
    <t xml:space="preserve">The 2022 Ad Valorem Tax by fund is keyed in the 2022 Ad Valorem Tax column in the 2024 budget </t>
  </si>
  <si>
    <t>workbook inputPrYr tab.</t>
  </si>
  <si>
    <t>Current Year Valuation Estimate</t>
  </si>
  <si>
    <r>
      <rPr>
        <b/>
        <sz val="12"/>
        <color rgb="FFFF0000"/>
        <rFont val="Calibri"/>
        <family val="2"/>
      </rPr>
      <t>B</t>
    </r>
    <r>
      <rPr>
        <sz val="12"/>
        <rFont val="Calibri"/>
        <family val="2"/>
      </rPr>
      <t xml:space="preserve"> The current year valuation estimate comes from the County Clerk's Budget Information for </t>
    </r>
  </si>
  <si>
    <t xml:space="preserve">the the 2024 Budget received from the county clerk in June. </t>
  </si>
  <si>
    <t xml:space="preserve">The information from the County Clerk's Budget Information for the 2024 Budget is keyed in the </t>
  </si>
  <si>
    <t>2024 budget workbook inputOth tab.</t>
  </si>
  <si>
    <r>
      <t xml:space="preserve">C </t>
    </r>
    <r>
      <rPr>
        <sz val="12"/>
        <color theme="1"/>
        <rFont val="Calibri"/>
        <family val="2"/>
      </rPr>
      <t>The revenue neutral rate is calculated by the county clerk and provided to each taxing subdivision in the county by June 15th.</t>
    </r>
  </si>
  <si>
    <t>Prior Year RNR/Mill Levy Rate</t>
  </si>
  <si>
    <r>
      <t xml:space="preserve">D </t>
    </r>
    <r>
      <rPr>
        <sz val="12"/>
        <color theme="1"/>
        <rFont val="Calibri"/>
        <family val="2"/>
      </rPr>
      <t xml:space="preserve">The sum of the actual tax rates </t>
    </r>
  </si>
  <si>
    <t>The following changes were made to this workbook during April 2023</t>
  </si>
  <si>
    <t xml:space="preserve">1. Made final Nov 1, 2023 assessed valuation fillable and added final rate formula by fund on the Certificate page. </t>
  </si>
  <si>
    <t>2. Added 'SAMPLE Roll Call to Exceed RNR' tab.</t>
  </si>
  <si>
    <t>3. Combined 'Mill Rate Computation' tab and 'Helpful Links' tab into new tab labeled 'Budget Tools.'</t>
  </si>
  <si>
    <t>4. Added explanation of how the Revenue Neutral Rate is calculated to 'Budget Tools' tab.</t>
  </si>
  <si>
    <t>5. Updated spacing and formatting to Tab A, Tab B, Tab C, Tab D and Tab E.</t>
  </si>
  <si>
    <t>The following changes were made to this workbook during February 2022</t>
  </si>
  <si>
    <t>10. Added RNR to Certificate Page</t>
  </si>
  <si>
    <t>5. Updated certificate/table of contents and page numbering for changes</t>
  </si>
  <si>
    <t>The following changes were made to this workbook during March 2020</t>
  </si>
  <si>
    <t>The following changes were made to this workbook during April 2019</t>
  </si>
  <si>
    <t>The following changes were made to this workbook on 1/27/2016</t>
  </si>
  <si>
    <t>The following changes were made to this workbook on 8/28/2015</t>
  </si>
  <si>
    <t>1.  Added edits related to adoption of a resolution</t>
  </si>
  <si>
    <t>2.  Added a sample resolution tab</t>
  </si>
  <si>
    <t>3.  Added a third notice of vote option</t>
  </si>
  <si>
    <t>4.  Added to each fund a "cash forward" expenditure line item</t>
  </si>
  <si>
    <t>5.  Added a total tax levy comparison tool adjacent to each tax levy fund</t>
  </si>
  <si>
    <t>6.  On tax levy funds NR estimate shown as a negative receipt</t>
  </si>
  <si>
    <t>The following changes were made to this workbook on 9/22/14</t>
  </si>
  <si>
    <t>The following changes were made to this workbook on 9/16/14</t>
  </si>
  <si>
    <t>1.  Corrected the print margins of the general fund tab.</t>
  </si>
  <si>
    <t>The following changes were made to this workbook on 8/4/14</t>
  </si>
  <si>
    <t>The following changes were made to this workbook on 4/2/14</t>
  </si>
  <si>
    <t>The following changes were made to this workbook on 1/13/14</t>
  </si>
  <si>
    <t>1.  Corrected formulas for column totals on general fund detail page.</t>
  </si>
  <si>
    <t>The following changes were made to this workbook on 3/22/12</t>
  </si>
  <si>
    <t>1. Concantenate at line 9 of the Certificate page changed to reference cell F1</t>
  </si>
  <si>
    <t>2. Corrected misspelling of word "limitations" on line 9 of the Certificate page.</t>
  </si>
  <si>
    <t>35. General tab, link page number with detail page number to show 7 without a library fund or 8 with a library fund</t>
  </si>
  <si>
    <t>The following changes were made to this workbook on 6/30/11</t>
  </si>
  <si>
    <t>1. Certificate page: supplied link to input prior year tab to pull statutory reference for tax levy fund (cell B23 on certificate page)</t>
  </si>
  <si>
    <t>1. Debt Service fund page: total receipts formula changed to eliminate reference to unencumbered cash (cell C6)</t>
  </si>
  <si>
    <t>2. Summary page: corrected cell reference in current year expenditures, cell D26</t>
  </si>
  <si>
    <t>The following changes were made to this workbook on 5/26/11</t>
  </si>
  <si>
    <t>1. Tabs level page 9 and 10 cell D32 formatting change reference C34 to D34 and cell D69 reference from C71 to D71</t>
  </si>
  <si>
    <t>The following changes were made to this workbook on 5/6/11</t>
  </si>
  <si>
    <t>1. Summary tab correct cells J28, J29, M28, and M29 as wrong cell reference and formula error</t>
  </si>
  <si>
    <t>2. Mvalloc/slider column cell corrections.</t>
  </si>
  <si>
    <t>The following changes were made to this workbook on 3/16/11</t>
  </si>
  <si>
    <t>1. DebtService tab corrected cell E20 total computation</t>
  </si>
  <si>
    <t>2. Mvalloc tab corrected table link with InputPrYr ad valorem taxes</t>
  </si>
  <si>
    <t>3. Debt Service tab corrected cell G34 from E21 to E20</t>
  </si>
  <si>
    <t>The following changes were made to this workbook on 8/20/10</t>
  </si>
  <si>
    <t>3. Instruction tab added lines 11c (last year mill rate), 11d (desired mill rate), 10a(project carryover), 10b (Desired Carryover), 10g (project carryover Debt/road, and 14 (protection)</t>
  </si>
  <si>
    <t>14. DebtService tab reduced the Debt Service fund page and added a fund</t>
  </si>
  <si>
    <t>28. Inputoth tab changed Actual Delinquency tax from -2 to -3</t>
  </si>
  <si>
    <t>2. SpecHwy and No Levy Page 12 tabs changed conditional statements</t>
  </si>
  <si>
    <t>9. Certificate tab moved the Assisted By: and added more lines for governing body signatures</t>
  </si>
  <si>
    <t>The following changes were made to this workbook on 7/16/09</t>
  </si>
  <si>
    <t>1. Mvalloc tab, changed the table reference in each cell from 'D' to 'E'</t>
  </si>
  <si>
    <t>2. Debt tab, moved the footer information down so as not show in the table</t>
  </si>
  <si>
    <t>3. Debt Service tab, for the actual column, changed alignment so figures appear on the right side versus the left</t>
  </si>
  <si>
    <t>4. Levy page '9' and '10', removed the protection from the 'green' input areas</t>
  </si>
  <si>
    <t>The following changes were made to this workbook on 4/24/09</t>
  </si>
  <si>
    <t>1. Transfer tab - changed the column heading dates as had wrong reference cell</t>
  </si>
  <si>
    <t>The following were changed to this spreadsheet on 3/19/09</t>
  </si>
  <si>
    <t>1. Change Certificate page Bond &amp; Interest to Debt Service</t>
  </si>
  <si>
    <t>1. Instructions concerning submitting of the budget…required electronic.</t>
  </si>
  <si>
    <t>2. Input Other tab changed line 51 from Budget Summary to Budget Certificate.</t>
  </si>
  <si>
    <t>3.  On the general tab lines 25 and 26 merged the cells in column c/d.</t>
  </si>
  <si>
    <t>The following were changed to this spreadsheet on 8/13/08</t>
  </si>
  <si>
    <t>3a. Made the total expenditures block for the actual and current year to turn 'Red' if violation occurs.</t>
  </si>
  <si>
    <t>6. Neighborhood Revitalization (nhood) took off the protection for the page number and made the estimate rebate round the figures to whole dollars.</t>
  </si>
  <si>
    <t>8. Added to the instruction page lines 11a - 11c to provide a little more insight for the Neighborhood Revitalization rebate.</t>
  </si>
  <si>
    <t>9. Added instruction line 2b to explain how to delete delinquency rate from tax levy fund pages.</t>
  </si>
  <si>
    <t>12. Added instruction lines 9j to 9l for additional edits for budget authority.</t>
  </si>
  <si>
    <t>13. Added to instruction line 9c about the miscellaneous receipt for the proposed year takes into account the ad valorem taxes for the 10% Rule.</t>
  </si>
  <si>
    <t>14. Added to instruction line 6 for using chartered ordinance number in place of statute reference.</t>
  </si>
  <si>
    <t>1. Added instructions to 9f for the nonbud tab explaining about negative cash balance.</t>
  </si>
  <si>
    <t>2. Changed the formula for unencumbered cash balances for nonbud to show a negative balance.</t>
  </si>
  <si>
    <t>3. Added box under unencumbered cash balance for nonbud to reflect a negative ending cash balance.</t>
  </si>
  <si>
    <r>
      <t>1. The Non-Budgeted Funds form was changed from 'Only the actual budget year shown' to read '</t>
    </r>
    <r>
      <rPr>
        <i/>
        <sz val="12"/>
        <rFont val="Times New Roman"/>
        <family val="1"/>
      </rPr>
      <t>Only the actual budget year for YYYY is to be shown</t>
    </r>
    <r>
      <rPr>
        <sz val="12"/>
        <rFont val="Times New Roman"/>
        <family val="1"/>
      </rPr>
      <t>'.</t>
    </r>
  </si>
  <si>
    <t>2. The page revised date has been changed.</t>
  </si>
  <si>
    <t>1.Instruction were changed: POC change from Roger to ARMUNIS, got rid about us providing disk, took the input page and split to input prior budget information and input other, with more in-depth of forms and fund page, and more in-depth on the budget summary page.</t>
  </si>
  <si>
    <t>7. Added a single page for no tax levy fund page.</t>
  </si>
  <si>
    <t>11. Added Neighborhood Revitalization, LAVTR, City and County Revenue Sharing, and Slider to the input page and to the General Fund page.</t>
  </si>
  <si>
    <t>21. add non-budgeted page(nonbud) and link to Certificate and Budget Summary</t>
  </si>
  <si>
    <t>22. Added to instructions about non-appropriated balance are limited to 5%.</t>
  </si>
  <si>
    <t>23 Added warning "Exceeds 5%" on all fund pages for the non-appropriated balance and cause to be red if exceeded.</t>
  </si>
  <si>
    <t>24. Made the Schedule of Transfers it's own worksheet.</t>
  </si>
  <si>
    <t>25. Created Neighborhood Revitalization table added links to all fund pages.</t>
  </si>
  <si>
    <t>26. Added to the instructions about neighborhood revitalization.</t>
  </si>
  <si>
    <t>27. Added Slider to the Vehicle Allocation table and linked to the fund pages.</t>
  </si>
  <si>
    <t xml:space="preserve">30. Added miscellaneous line item for receipt and expenditure and add line for "Exceed 10% Rule' and make the block red if exceeded. </t>
  </si>
  <si>
    <t xml:space="preserve">31. Added instructions for the 10% Rule. </t>
  </si>
  <si>
    <t>33. Expanded on the preparation of budget note 10 for instructions for the Notice of Budget Hearing.</t>
  </si>
  <si>
    <t>34. Added 'excluding oil, gas, and mobile homes' to lines 8 and 14 on Clerks budget info on tab inputoth.</t>
  </si>
  <si>
    <t>Roll Call Vote</t>
  </si>
  <si>
    <r>
      <t>A Roll Call Vote of the ___</t>
    </r>
    <r>
      <rPr>
        <u/>
        <sz val="12"/>
        <rFont val="Calibri"/>
        <family val="2"/>
        <scheme val="minor"/>
      </rPr>
      <t>(Governing Body Name)</t>
    </r>
    <r>
      <rPr>
        <sz val="12"/>
        <rFont val="Calibri"/>
        <family val="2"/>
        <scheme val="minor"/>
      </rPr>
      <t>___ To Levy a Property Tax Exceeding the Revenue Neutral Rate</t>
    </r>
  </si>
  <si>
    <r>
      <t>Hearing to Exceed Revenue Neutral Rate held on __</t>
    </r>
    <r>
      <rPr>
        <u/>
        <sz val="12"/>
        <rFont val="Calibri"/>
        <family val="2"/>
        <scheme val="minor"/>
      </rPr>
      <t>(Date)</t>
    </r>
    <r>
      <rPr>
        <sz val="12"/>
        <rFont val="Calibri"/>
        <family val="2"/>
        <scheme val="minor"/>
      </rPr>
      <t>__</t>
    </r>
  </si>
  <si>
    <t>Resolution No. _______________</t>
  </si>
  <si>
    <t>Governing Body Member</t>
  </si>
  <si>
    <t>Yes</t>
  </si>
  <si>
    <t>No</t>
  </si>
  <si>
    <t>No Vote</t>
  </si>
  <si>
    <t xml:space="preserve">Certified: </t>
  </si>
  <si>
    <t>Wellsville</t>
  </si>
  <si>
    <t>Franklin</t>
  </si>
  <si>
    <t>12-16102</t>
  </si>
  <si>
    <t>Library Employee Benefits</t>
  </si>
  <si>
    <t>Special Tort Claim</t>
  </si>
  <si>
    <t>75-6110</t>
  </si>
  <si>
    <t>Building Capital Improvement</t>
  </si>
  <si>
    <t>Cemetary Perpetual Care</t>
  </si>
  <si>
    <t>Combined Sales Tax Improv</t>
  </si>
  <si>
    <t>Community Enhanc Sales Tax</t>
  </si>
  <si>
    <t>Water/Sewer/Refuse Utitly</t>
  </si>
  <si>
    <t>Street Improvement Reserve</t>
  </si>
  <si>
    <t>Public Works Equip Reserve</t>
  </si>
  <si>
    <t>Cap Improve Design</t>
  </si>
  <si>
    <t>Payroll Clearing/Court Bonds</t>
  </si>
  <si>
    <t>Employee Benefit Trust</t>
  </si>
  <si>
    <t>Police Improvement Reserve</t>
  </si>
  <si>
    <t>Fire Improvement Reserve</t>
  </si>
  <si>
    <t>Park Improvement Reserve</t>
  </si>
  <si>
    <t>Grant/Donations Fund</t>
  </si>
  <si>
    <t>Building Permits</t>
  </si>
  <si>
    <t>Police Fines</t>
  </si>
  <si>
    <t>Swimming Pool Admissions</t>
  </si>
  <si>
    <t>Cemetary Fees</t>
  </si>
  <si>
    <t>Fire District Rent Reimbursement</t>
  </si>
  <si>
    <t>Reimbursed Expenses</t>
  </si>
  <si>
    <t>General Admistration Department</t>
  </si>
  <si>
    <t>General Adminstration Court</t>
  </si>
  <si>
    <t>Planning /Engineering Department</t>
  </si>
  <si>
    <t>Pool Operations</t>
  </si>
  <si>
    <t>Police Department</t>
  </si>
  <si>
    <t>Street Department</t>
  </si>
  <si>
    <t>Cementary Maintenance</t>
  </si>
  <si>
    <t>Park Department</t>
  </si>
  <si>
    <t>Animal Shelter</t>
  </si>
  <si>
    <t>Public Works Engineering &amp; Design</t>
  </si>
  <si>
    <t>Public Works Salary/Benefits</t>
  </si>
  <si>
    <t>Police SOR Grant</t>
  </si>
  <si>
    <t>Police Deparrtment Communication</t>
  </si>
  <si>
    <t>Police Designated</t>
  </si>
  <si>
    <t>Police Watchguard Computer System</t>
  </si>
  <si>
    <t>Police Building</t>
  </si>
  <si>
    <t>Transfer to Building Capital Improvement</t>
  </si>
  <si>
    <t>Transfer  to Combined Sales Tax/Street Rab</t>
  </si>
  <si>
    <t>PW Pole Barn</t>
  </si>
  <si>
    <t>PW Backhoe Lease</t>
  </si>
  <si>
    <t>General Fire Department</t>
  </si>
  <si>
    <t>Bond Principal</t>
  </si>
  <si>
    <t>Bond Interest</t>
  </si>
  <si>
    <t>Temporary Note interest</t>
  </si>
  <si>
    <t>Public Works Backhoe</t>
  </si>
  <si>
    <t>2020 Ford Police Car</t>
  </si>
  <si>
    <t xml:space="preserve"> 2020 Ford Police Car</t>
  </si>
  <si>
    <t>Police Building Improv KSB</t>
  </si>
  <si>
    <t>Series 2018 Improvements</t>
  </si>
  <si>
    <t>12/12033</t>
  </si>
  <si>
    <t xml:space="preserve"> Temporary Notes</t>
  </si>
  <si>
    <t>Series 2023 A Temporary Notes</t>
  </si>
  <si>
    <t>Appropiation to Library Board</t>
  </si>
  <si>
    <t>Social Security Payroll Tax</t>
  </si>
  <si>
    <t>Unemployment</t>
  </si>
  <si>
    <t>KPERS Tax</t>
  </si>
  <si>
    <t>Insurance</t>
  </si>
  <si>
    <t>Transfer to Employee Benefit Trust</t>
  </si>
  <si>
    <t>Insurance Property Liability</t>
  </si>
  <si>
    <t>Weed Control</t>
  </si>
  <si>
    <t>Police Department Vehicle 2023</t>
  </si>
  <si>
    <t>Police Department 2 Vehicle &amp; Equip 2024</t>
  </si>
  <si>
    <t>Police Drone 2024</t>
  </si>
  <si>
    <t>Police Computer Tyler Tech/Motorola</t>
  </si>
  <si>
    <t>Police SRO Reimbursement</t>
  </si>
  <si>
    <t>Public Works Excavator Lease</t>
  </si>
  <si>
    <t>Public Works Equip Truck Lease</t>
  </si>
  <si>
    <t>Tammy Jones</t>
  </si>
  <si>
    <t>City Clerk</t>
  </si>
  <si>
    <t>August 30, 2023</t>
  </si>
  <si>
    <t>6.pm</t>
  </si>
  <si>
    <t>Public Works  Mowers</t>
  </si>
  <si>
    <t xml:space="preserve">  Capital Outlay </t>
  </si>
  <si>
    <t>Public Works Tree</t>
  </si>
  <si>
    <t>Public Works  Asset Software</t>
  </si>
  <si>
    <t>Police COPS Grant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</si>
</sst>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0_);[Red]\(&quot;$&quot;#,##0\)"/>
    <numFmt numFmtId="43" formatCode="_(* #,##0.00_);_(* \(#,##0.00\);_(* &quot;-&quot;??_);_(@_)"/>
    <numFmt numFmtId="164" formatCode="0.000_)"/>
    <numFmt numFmtId="165" formatCode="0.00000_)"/>
    <numFmt numFmtId="166" formatCode="0_)"/>
    <numFmt numFmtId="167" formatCode="m/d/yy"/>
    <numFmt numFmtId="168" formatCode="m/d"/>
    <numFmt numFmtId="169" formatCode="_(* #,##0_);_(* \(#,##0\);_(* &quot;-&quot;??_);_(@_)"/>
    <numFmt numFmtId="170" formatCode="0.000"/>
    <numFmt numFmtId="171" formatCode="#,##0.000"/>
    <numFmt numFmtId="172" formatCode="&quot;$&quot;#,##0"/>
    <numFmt numFmtId="173" formatCode="&quot;$&quot;#,##0.00"/>
    <numFmt numFmtId="174" formatCode="#,###"/>
    <numFmt numFmtId="175" formatCode="0.0%"/>
    <numFmt numFmtId="176" formatCode="#,##0.000_);[Red]\(#,##0.000\)"/>
  </numFmts>
  <fonts count="67" x14ac:knownFonts="1">
    <font>
      <sz val="12"/>
      <name val="Courier"/>
    </font>
    <font>
      <b/>
      <sz val="12"/>
      <name val="Courier"/>
      <family val="3"/>
    </font>
    <font>
      <sz val="12"/>
      <name val="Courier"/>
      <family val="3"/>
    </font>
    <font>
      <b/>
      <sz val="12"/>
      <name val="Times New Roman"/>
      <family val="1"/>
    </font>
    <font>
      <sz val="12"/>
      <name val="Times New Roman"/>
      <family val="1"/>
    </font>
    <font>
      <u/>
      <sz val="12"/>
      <name val="Times New Roman"/>
      <family val="1"/>
    </font>
    <font>
      <sz val="11"/>
      <name val="Times New Roman"/>
      <family val="1"/>
    </font>
    <font>
      <sz val="9"/>
      <name val="Times New Roman"/>
      <family val="1"/>
    </font>
    <font>
      <sz val="8"/>
      <name val="Courier"/>
      <family val="3"/>
    </font>
    <font>
      <u/>
      <sz val="12"/>
      <color indexed="12"/>
      <name val="Courier"/>
      <family val="3"/>
    </font>
    <font>
      <sz val="8"/>
      <name val="Times New Roman"/>
      <family val="1"/>
    </font>
    <font>
      <b/>
      <u/>
      <sz val="12"/>
      <name val="Times New Roman"/>
      <family val="1"/>
    </font>
    <font>
      <b/>
      <u/>
      <sz val="12"/>
      <color indexed="10"/>
      <name val="Times New Roman"/>
      <family val="1"/>
    </font>
    <font>
      <b/>
      <u/>
      <sz val="12"/>
      <name val="Courier"/>
      <family val="3"/>
    </font>
    <font>
      <sz val="12"/>
      <color indexed="10"/>
      <name val="Times New Roman"/>
      <family val="1"/>
    </font>
    <font>
      <b/>
      <sz val="12"/>
      <color indexed="10"/>
      <name val="Times New Roman"/>
      <family val="1"/>
    </font>
    <font>
      <b/>
      <sz val="8"/>
      <name val="Times New Roman"/>
      <family val="1"/>
    </font>
    <font>
      <sz val="12"/>
      <color indexed="10"/>
      <name val="Courier"/>
      <family val="3"/>
    </font>
    <font>
      <i/>
      <sz val="12"/>
      <name val="Times New Roman"/>
      <family val="1"/>
    </font>
    <font>
      <sz val="12"/>
      <color indexed="8"/>
      <name val="Times New Roman"/>
      <family val="1"/>
    </font>
    <font>
      <b/>
      <sz val="14"/>
      <name val="Times New Roman"/>
      <family val="1"/>
    </font>
    <font>
      <b/>
      <sz val="12"/>
      <color indexed="8"/>
      <name val="Times New Roman"/>
      <family val="1"/>
    </font>
    <font>
      <b/>
      <sz val="11"/>
      <name val="Times New Roman"/>
      <family val="1"/>
    </font>
    <font>
      <sz val="11"/>
      <color indexed="8"/>
      <name val="Times New Roman"/>
      <family val="1"/>
    </font>
    <font>
      <b/>
      <sz val="11"/>
      <color indexed="8"/>
      <name val="Times New Roman"/>
      <family val="1"/>
    </font>
    <font>
      <b/>
      <u/>
      <sz val="8"/>
      <color indexed="10"/>
      <name val="Times New Roman"/>
      <family val="1"/>
    </font>
    <font>
      <sz val="12"/>
      <name val="Courier"/>
      <family val="3"/>
    </font>
    <font>
      <sz val="12"/>
      <name val="Courier New"/>
      <family val="3"/>
    </font>
    <font>
      <b/>
      <sz val="12"/>
      <name val="Courier"/>
      <family val="3"/>
    </font>
    <font>
      <sz val="12"/>
      <name val="Courier New"/>
      <family val="3"/>
    </font>
    <font>
      <sz val="9"/>
      <color indexed="10"/>
      <name val="Times New Roman"/>
      <family val="1"/>
    </font>
    <font>
      <b/>
      <sz val="13"/>
      <name val="Times New Roman"/>
      <family val="1"/>
    </font>
    <font>
      <u/>
      <sz val="12"/>
      <color indexed="12"/>
      <name val="Times New Roman"/>
      <family val="1"/>
    </font>
    <font>
      <sz val="10"/>
      <name val="Times New Roman"/>
      <family val="1"/>
    </font>
    <font>
      <b/>
      <u/>
      <sz val="10"/>
      <name val="Times New Roman"/>
      <family val="1"/>
    </font>
    <font>
      <b/>
      <sz val="10"/>
      <name val="Times New Roman"/>
      <family val="1"/>
    </font>
    <font>
      <sz val="10"/>
      <color indexed="10"/>
      <name val="Times New Roman"/>
      <family val="1"/>
    </font>
    <font>
      <sz val="10"/>
      <name val="Courier"/>
      <family val="3"/>
    </font>
    <font>
      <u/>
      <sz val="12"/>
      <color indexed="12"/>
      <name val="Courier New"/>
      <family val="3"/>
    </font>
    <font>
      <sz val="11"/>
      <color theme="1"/>
      <name val="Calibri"/>
      <family val="2"/>
      <scheme val="minor"/>
    </font>
    <font>
      <u/>
      <sz val="12"/>
      <color rgb="FFFF0000"/>
      <name val="Times New Roman"/>
      <family val="1"/>
    </font>
    <font>
      <b/>
      <sz val="12"/>
      <color rgb="FF000000"/>
      <name val="Times New Roman"/>
      <family val="1"/>
    </font>
    <font>
      <sz val="10"/>
      <color rgb="FFFF0000"/>
      <name val="Times New Roman"/>
      <family val="1"/>
    </font>
    <font>
      <sz val="12"/>
      <color rgb="FFFF0000"/>
      <name val="Times New Roman"/>
      <family val="1"/>
    </font>
    <font>
      <b/>
      <sz val="12"/>
      <color rgb="FFFF0000"/>
      <name val="Times New Roman"/>
      <family val="1"/>
    </font>
    <font>
      <b/>
      <u/>
      <sz val="12"/>
      <color rgb="FFFF0000"/>
      <name val="Times New Roman"/>
      <family val="1"/>
    </font>
    <font>
      <u/>
      <vertAlign val="superscript"/>
      <sz val="12"/>
      <name val="Times New Roman"/>
      <family val="1"/>
    </font>
    <font>
      <sz val="11"/>
      <name val="Calibri"/>
      <family val="2"/>
    </font>
    <font>
      <sz val="7"/>
      <name val="Times New Roman"/>
      <family val="1"/>
    </font>
    <font>
      <b/>
      <sz val="16"/>
      <name val="Times New Roman"/>
      <family val="1"/>
    </font>
    <font>
      <b/>
      <u/>
      <sz val="16"/>
      <name val="Times New Roman"/>
      <family val="1"/>
    </font>
    <font>
      <sz val="14"/>
      <name val="Times New Roman"/>
      <family val="1"/>
    </font>
    <font>
      <b/>
      <sz val="18"/>
      <name val="Times New Roman"/>
      <family val="1"/>
    </font>
    <font>
      <b/>
      <i/>
      <sz val="12"/>
      <name val="Times New Roman"/>
      <family val="1"/>
    </font>
    <font>
      <b/>
      <sz val="14"/>
      <color rgb="FF000000"/>
      <name val="Cambria"/>
      <family val="1"/>
      <scheme val="major"/>
    </font>
    <font>
      <b/>
      <sz val="28"/>
      <color rgb="FF000000"/>
      <name val="Calibri Light"/>
      <family val="2"/>
    </font>
    <font>
      <sz val="12"/>
      <name val="Calibri"/>
      <family val="2"/>
    </font>
    <font>
      <sz val="12"/>
      <color rgb="FF000000"/>
      <name val="Calibri"/>
      <family val="2"/>
    </font>
    <font>
      <b/>
      <sz val="12"/>
      <color rgb="FFFF0000"/>
      <name val="Calibri"/>
      <family val="2"/>
    </font>
    <font>
      <sz val="12"/>
      <color theme="1"/>
      <name val="Calibri"/>
      <family val="2"/>
    </font>
    <font>
      <b/>
      <sz val="14"/>
      <color theme="1"/>
      <name val="Cambria"/>
      <family val="1"/>
    </font>
    <font>
      <b/>
      <sz val="14"/>
      <name val="Cambria"/>
      <family val="1"/>
      <scheme val="major"/>
    </font>
    <font>
      <sz val="12"/>
      <name val="Calibri"/>
      <family val="2"/>
      <scheme val="minor"/>
    </font>
    <font>
      <b/>
      <sz val="14"/>
      <name val="Calibri"/>
      <family val="2"/>
      <scheme val="minor"/>
    </font>
    <font>
      <u/>
      <sz val="12"/>
      <name val="Calibri"/>
      <family val="2"/>
      <scheme val="minor"/>
    </font>
    <font>
      <b/>
      <sz val="13"/>
      <name val="Calibri"/>
      <family val="2"/>
      <scheme val="minor"/>
    </font>
    <font>
      <b/>
      <sz val="12"/>
      <name val="Calibri"/>
      <family val="2"/>
      <scheme val="minor"/>
    </font>
  </fonts>
  <fills count="21">
    <fill>
      <patternFill patternType="none"/>
    </fill>
    <fill>
      <patternFill patternType="gray125"/>
    </fill>
    <fill>
      <patternFill patternType="solid">
        <fgColor indexed="11"/>
      </patternFill>
    </fill>
    <fill>
      <patternFill patternType="solid">
        <fgColor indexed="26"/>
        <bgColor indexed="64"/>
      </patternFill>
    </fill>
    <fill>
      <patternFill patternType="solid">
        <fgColor indexed="43"/>
        <bgColor indexed="64"/>
      </patternFill>
    </fill>
    <fill>
      <patternFill patternType="solid">
        <fgColor indexed="10"/>
        <bgColor indexed="64"/>
      </patternFill>
    </fill>
    <fill>
      <patternFill patternType="solid">
        <fgColor indexed="11"/>
        <bgColor indexed="64"/>
      </patternFill>
    </fill>
    <fill>
      <patternFill patternType="solid">
        <fgColor indexed="15"/>
        <bgColor indexed="64"/>
      </patternFill>
    </fill>
    <fill>
      <patternFill patternType="solid">
        <fgColor indexed="35"/>
        <bgColor indexed="64"/>
      </patternFill>
    </fill>
    <fill>
      <patternFill patternType="solid">
        <fgColor indexed="13"/>
        <bgColor indexed="64"/>
      </patternFill>
    </fill>
    <fill>
      <patternFill patternType="solid">
        <fgColor indexed="34"/>
        <bgColor indexed="64"/>
      </patternFill>
    </fill>
    <fill>
      <patternFill patternType="solid">
        <fgColor indexed="41"/>
        <bgColor indexed="64"/>
      </patternFill>
    </fill>
    <fill>
      <patternFill patternType="solid">
        <fgColor rgb="FFFFFF99"/>
        <bgColor indexed="64"/>
      </patternFill>
    </fill>
    <fill>
      <patternFill patternType="solid">
        <fgColor rgb="FFFFFFC0"/>
        <bgColor indexed="64"/>
      </patternFill>
    </fill>
    <fill>
      <patternFill patternType="solid">
        <fgColor rgb="FF00FF0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512">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6"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7" fillId="0" borderId="0"/>
    <xf numFmtId="0" fontId="26"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7" fillId="0" borderId="0"/>
    <xf numFmtId="0" fontId="27" fillId="0" borderId="0"/>
    <xf numFmtId="0" fontId="27" fillId="0" borderId="0"/>
    <xf numFmtId="0" fontId="2" fillId="0" borderId="0"/>
    <xf numFmtId="0" fontId="2" fillId="0" borderId="0"/>
    <xf numFmtId="0" fontId="2" fillId="0" borderId="0"/>
    <xf numFmtId="0" fontId="29" fillId="0" borderId="0"/>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9" fillId="0" borderId="0"/>
    <xf numFmtId="0" fontId="27" fillId="0" borderId="0"/>
    <xf numFmtId="0" fontId="2" fillId="0" borderId="0"/>
    <xf numFmtId="0" fontId="27" fillId="0" borderId="0"/>
    <xf numFmtId="0" fontId="2" fillId="0" borderId="0"/>
    <xf numFmtId="0" fontId="2" fillId="0" borderId="0"/>
    <xf numFmtId="0" fontId="27" fillId="0" borderId="0"/>
    <xf numFmtId="0" fontId="27" fillId="0" borderId="0"/>
    <xf numFmtId="0" fontId="2" fillId="0" borderId="0"/>
    <xf numFmtId="0" fontId="2" fillId="0" borderId="0"/>
    <xf numFmtId="0" fontId="27" fillId="0" borderId="0"/>
    <xf numFmtId="0" fontId="29" fillId="0" borderId="0"/>
    <xf numFmtId="0" fontId="27" fillId="0" borderId="0"/>
    <xf numFmtId="0" fontId="2" fillId="0" borderId="0"/>
    <xf numFmtId="0" fontId="27"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 fillId="0" borderId="0"/>
    <xf numFmtId="0" fontId="27" fillId="0" borderId="0"/>
    <xf numFmtId="0" fontId="27" fillId="0" borderId="0"/>
    <xf numFmtId="0" fontId="2" fillId="0" borderId="0"/>
    <xf numFmtId="0" fontId="2"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 fillId="0" borderId="0"/>
    <xf numFmtId="0" fontId="26"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 fillId="0" borderId="0"/>
    <xf numFmtId="0" fontId="27" fillId="0" borderId="0"/>
    <xf numFmtId="0" fontId="26" fillId="0" borderId="0"/>
    <xf numFmtId="0" fontId="2" fillId="0" borderId="0"/>
    <xf numFmtId="0" fontId="2" fillId="0" borderId="0"/>
    <xf numFmtId="0" fontId="27" fillId="0" borderId="0"/>
    <xf numFmtId="0" fontId="27" fillId="0" borderId="0"/>
    <xf numFmtId="0" fontId="2" fillId="0" borderId="0"/>
    <xf numFmtId="0" fontId="27" fillId="0" borderId="0"/>
    <xf numFmtId="0" fontId="26" fillId="0" borderId="0"/>
    <xf numFmtId="0" fontId="2" fillId="0" borderId="0"/>
    <xf numFmtId="0" fontId="26"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6" fillId="0" borderId="0"/>
    <xf numFmtId="0" fontId="2" fillId="0" borderId="0"/>
    <xf numFmtId="0" fontId="27" fillId="0" borderId="0"/>
    <xf numFmtId="0" fontId="27" fillId="0" borderId="0"/>
    <xf numFmtId="0" fontId="2" fillId="0" borderId="0"/>
    <xf numFmtId="0" fontId="26" fillId="0" borderId="0"/>
    <xf numFmtId="0" fontId="2" fillId="0" borderId="0"/>
    <xf numFmtId="0" fontId="2" fillId="0" borderId="0"/>
    <xf numFmtId="0" fontId="27" fillId="0" borderId="0"/>
    <xf numFmtId="0" fontId="26" fillId="0" borderId="0"/>
    <xf numFmtId="0" fontId="2" fillId="0" borderId="0"/>
    <xf numFmtId="0" fontId="26" fillId="0" borderId="0"/>
    <xf numFmtId="0" fontId="2" fillId="0" borderId="0"/>
    <xf numFmtId="0" fontId="2" fillId="0" borderId="0"/>
    <xf numFmtId="0" fontId="27" fillId="0" borderId="0"/>
    <xf numFmtId="0" fontId="26" fillId="0" borderId="0"/>
    <xf numFmtId="0" fontId="2"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7" fillId="0" borderId="0"/>
    <xf numFmtId="0" fontId="27" fillId="0" borderId="0"/>
    <xf numFmtId="0" fontId="26" fillId="0" borderId="0"/>
    <xf numFmtId="0" fontId="2" fillId="0" borderId="0"/>
    <xf numFmtId="0" fontId="2" fillId="0" borderId="0"/>
    <xf numFmtId="0" fontId="27" fillId="0" borderId="0"/>
    <xf numFmtId="0" fontId="2" fillId="0" borderId="0"/>
    <xf numFmtId="0" fontId="2" fillId="0" borderId="0"/>
    <xf numFmtId="0" fontId="27" fillId="0" borderId="0"/>
    <xf numFmtId="0" fontId="26"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 fillId="0" borderId="0"/>
    <xf numFmtId="0" fontId="26" fillId="0" borderId="0"/>
    <xf numFmtId="0" fontId="2" fillId="0" borderId="0"/>
    <xf numFmtId="0" fontId="2" fillId="0" borderId="0"/>
    <xf numFmtId="0" fontId="27" fillId="0" borderId="0"/>
    <xf numFmtId="0" fontId="2" fillId="0" borderId="0"/>
    <xf numFmtId="0" fontId="2" fillId="0" borderId="0"/>
    <xf numFmtId="0" fontId="27" fillId="0" borderId="0"/>
    <xf numFmtId="0" fontId="26"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7"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6" fillId="0" borderId="0"/>
    <xf numFmtId="0" fontId="2"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2" fillId="0" borderId="0"/>
    <xf numFmtId="0" fontId="2"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2" fillId="0" borderId="0"/>
    <xf numFmtId="0" fontId="2"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 fillId="0" borderId="0"/>
    <xf numFmtId="0" fontId="27" fillId="0" borderId="0"/>
    <xf numFmtId="0" fontId="2"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6" fillId="0" borderId="0"/>
    <xf numFmtId="0" fontId="2" fillId="0" borderId="0"/>
    <xf numFmtId="0" fontId="2" fillId="0" borderId="0"/>
    <xf numFmtId="0" fontId="2" fillId="0" borderId="0"/>
    <xf numFmtId="0" fontId="27" fillId="0" borderId="0"/>
    <xf numFmtId="0" fontId="2" fillId="0" borderId="0"/>
    <xf numFmtId="0" fontId="27"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4" fillId="0" borderId="0"/>
  </cellStyleXfs>
  <cellXfs count="782">
    <xf numFmtId="0" fontId="0" fillId="0" borderId="0" xfId="0"/>
    <xf numFmtId="0" fontId="4" fillId="0" borderId="0" xfId="0" applyFont="1"/>
    <xf numFmtId="0" fontId="4" fillId="0" borderId="0" xfId="0" applyFont="1" applyProtection="1">
      <protection locked="0"/>
    </xf>
    <xf numFmtId="0" fontId="4" fillId="2" borderId="1" xfId="0" applyFont="1" applyFill="1" applyBorder="1" applyProtection="1">
      <protection locked="0"/>
    </xf>
    <xf numFmtId="0" fontId="4" fillId="3" borderId="2" xfId="0" applyFont="1" applyFill="1" applyBorder="1"/>
    <xf numFmtId="0" fontId="4" fillId="3" borderId="0" xfId="0" applyFont="1" applyFill="1"/>
    <xf numFmtId="0" fontId="4" fillId="3" borderId="0" xfId="0" applyFont="1" applyFill="1" applyAlignment="1">
      <alignment horizontal="right"/>
    </xf>
    <xf numFmtId="37" fontId="4" fillId="3" borderId="0" xfId="0" applyNumberFormat="1" applyFont="1" applyFill="1" applyAlignment="1">
      <alignment horizontal="right"/>
    </xf>
    <xf numFmtId="0" fontId="4" fillId="3" borderId="0" xfId="0" applyFont="1" applyFill="1" applyAlignment="1">
      <alignment horizontal="centerContinuous"/>
    </xf>
    <xf numFmtId="0" fontId="4" fillId="3" borderId="3" xfId="0" applyFont="1" applyFill="1" applyBorder="1"/>
    <xf numFmtId="37" fontId="4" fillId="3" borderId="0" xfId="0" applyNumberFormat="1" applyFont="1" applyFill="1"/>
    <xf numFmtId="0" fontId="3" fillId="3" borderId="0" xfId="510" applyFont="1" applyFill="1" applyAlignment="1">
      <alignment horizontal="centerContinuous"/>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2" xfId="0" applyFont="1" applyFill="1" applyBorder="1" applyAlignment="1">
      <alignment horizontal="fill"/>
    </xf>
    <xf numFmtId="0" fontId="3" fillId="3" borderId="0" xfId="0" applyFont="1" applyFill="1" applyAlignment="1">
      <alignment horizontal="left"/>
    </xf>
    <xf numFmtId="0" fontId="6" fillId="3" borderId="5" xfId="0" applyFont="1" applyFill="1" applyBorder="1" applyAlignment="1">
      <alignment horizontal="center"/>
    </xf>
    <xf numFmtId="0" fontId="4" fillId="3" borderId="0" xfId="0" applyFont="1" applyFill="1" applyAlignment="1">
      <alignment horizontal="center"/>
    </xf>
    <xf numFmtId="2" fontId="4" fillId="2" borderId="1" xfId="0" applyNumberFormat="1" applyFont="1" applyFill="1" applyBorder="1" applyAlignment="1" applyProtection="1">
      <alignment horizontal="center"/>
      <protection locked="0"/>
    </xf>
    <xf numFmtId="3" fontId="4" fillId="2" borderId="1" xfId="0" applyNumberFormat="1" applyFont="1" applyFill="1" applyBorder="1" applyAlignment="1" applyProtection="1">
      <alignment horizontal="center"/>
      <protection locked="0"/>
    </xf>
    <xf numFmtId="1" fontId="4" fillId="2" borderId="1" xfId="0" applyNumberFormat="1" applyFont="1" applyFill="1" applyBorder="1" applyAlignment="1" applyProtection="1">
      <alignment horizontal="center"/>
      <protection locked="0"/>
    </xf>
    <xf numFmtId="3" fontId="3" fillId="4" borderId="6" xfId="0" applyNumberFormat="1" applyFont="1" applyFill="1" applyBorder="1" applyAlignment="1">
      <alignment horizontal="center"/>
    </xf>
    <xf numFmtId="14" fontId="4" fillId="2" borderId="1" xfId="0" applyNumberFormat="1" applyFont="1" applyFill="1" applyBorder="1" applyAlignment="1" applyProtection="1">
      <alignment horizontal="center"/>
      <protection locked="0"/>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pplyProtection="1">
      <alignment vertical="center"/>
      <protection locked="0"/>
    </xf>
    <xf numFmtId="37" fontId="3" fillId="3" borderId="0" xfId="0" applyNumberFormat="1" applyFont="1" applyFill="1" applyAlignment="1">
      <alignment horizontal="left" vertical="center"/>
    </xf>
    <xf numFmtId="0" fontId="4" fillId="3" borderId="0" xfId="0" applyFont="1" applyFill="1" applyAlignment="1">
      <alignment vertical="center"/>
    </xf>
    <xf numFmtId="37" fontId="4" fillId="3" borderId="0" xfId="0" applyNumberFormat="1" applyFont="1" applyFill="1" applyAlignment="1">
      <alignment horizontal="left" vertical="center"/>
    </xf>
    <xf numFmtId="37" fontId="4" fillId="3" borderId="0" xfId="0" applyNumberFormat="1" applyFont="1" applyFill="1" applyAlignment="1" applyProtection="1">
      <alignment horizontal="left" vertical="center"/>
      <protection locked="0"/>
    </xf>
    <xf numFmtId="0" fontId="3" fillId="6" borderId="1" xfId="0" applyFont="1" applyFill="1" applyBorder="1" applyAlignment="1" applyProtection="1">
      <alignment horizontal="center" vertical="center"/>
      <protection locked="0"/>
    </xf>
    <xf numFmtId="37" fontId="3" fillId="3" borderId="0" xfId="0" applyNumberFormat="1" applyFont="1" applyFill="1" applyAlignment="1">
      <alignment horizontal="centerContinuous" vertical="center"/>
    </xf>
    <xf numFmtId="0" fontId="4" fillId="3" borderId="0" xfId="0" applyFont="1" applyFill="1" applyAlignment="1">
      <alignment horizontal="centerContinuous" vertical="center"/>
    </xf>
    <xf numFmtId="0" fontId="4" fillId="7" borderId="3" xfId="0" applyFont="1" applyFill="1" applyBorder="1" applyAlignment="1">
      <alignment horizontal="center" vertical="center"/>
    </xf>
    <xf numFmtId="37" fontId="4" fillId="3" borderId="7" xfId="0" applyNumberFormat="1" applyFont="1" applyFill="1" applyBorder="1" applyAlignment="1">
      <alignment horizontal="center" vertical="center"/>
    </xf>
    <xf numFmtId="37" fontId="4" fillId="7" borderId="5" xfId="0" applyNumberFormat="1" applyFont="1" applyFill="1" applyBorder="1" applyAlignment="1">
      <alignment horizontal="center" vertical="center"/>
    </xf>
    <xf numFmtId="37" fontId="4" fillId="3" borderId="1" xfId="0" applyNumberFormat="1" applyFont="1" applyFill="1" applyBorder="1" applyAlignment="1">
      <alignment horizontal="left" vertical="center"/>
    </xf>
    <xf numFmtId="0" fontId="4" fillId="3" borderId="1" xfId="0" applyFont="1" applyFill="1" applyBorder="1" applyAlignment="1">
      <alignment vertical="center"/>
    </xf>
    <xf numFmtId="3" fontId="4" fillId="2" borderId="1" xfId="0" applyNumberFormat="1" applyFont="1" applyFill="1" applyBorder="1" applyAlignment="1" applyProtection="1">
      <alignment vertical="center"/>
      <protection locked="0"/>
    </xf>
    <xf numFmtId="0" fontId="0" fillId="3" borderId="0" xfId="0" applyFill="1" applyAlignment="1">
      <alignment vertical="center"/>
    </xf>
    <xf numFmtId="0" fontId="4" fillId="2" borderId="1" xfId="0" applyFont="1" applyFill="1" applyBorder="1" applyAlignment="1" applyProtection="1">
      <alignment vertical="center"/>
      <protection locked="0"/>
    </xf>
    <xf numFmtId="37" fontId="4" fillId="3" borderId="2" xfId="0" applyNumberFormat="1" applyFont="1" applyFill="1" applyBorder="1" applyAlignment="1">
      <alignment horizontal="left" vertical="center"/>
    </xf>
    <xf numFmtId="0" fontId="4" fillId="3" borderId="2" xfId="0" applyFont="1" applyFill="1" applyBorder="1" applyAlignment="1">
      <alignment vertical="center"/>
    </xf>
    <xf numFmtId="0" fontId="4" fillId="3" borderId="8" xfId="0" applyFont="1" applyFill="1" applyBorder="1" applyAlignment="1">
      <alignment vertical="center"/>
    </xf>
    <xf numFmtId="37" fontId="4" fillId="3" borderId="9" xfId="0" applyNumberFormat="1" applyFont="1" applyFill="1" applyBorder="1" applyAlignment="1">
      <alignment vertical="center"/>
    </xf>
    <xf numFmtId="37" fontId="4" fillId="4" borderId="9" xfId="0" applyNumberFormat="1" applyFont="1" applyFill="1" applyBorder="1" applyAlignment="1">
      <alignment vertical="center"/>
    </xf>
    <xf numFmtId="37" fontId="4" fillId="3" borderId="0" xfId="0" applyNumberFormat="1" applyFont="1" applyFill="1" applyAlignment="1">
      <alignment vertical="center"/>
    </xf>
    <xf numFmtId="164" fontId="4" fillId="2" borderId="1" xfId="0" applyNumberFormat="1" applyFont="1" applyFill="1" applyBorder="1" applyAlignment="1" applyProtection="1">
      <alignment vertical="center"/>
      <protection locked="0"/>
    </xf>
    <xf numFmtId="0" fontId="4" fillId="3" borderId="7" xfId="0" applyFont="1" applyFill="1" applyBorder="1" applyAlignment="1">
      <alignment vertical="center"/>
    </xf>
    <xf numFmtId="3" fontId="4" fillId="4" borderId="1" xfId="0" applyNumberFormat="1" applyFont="1" applyFill="1" applyBorder="1" applyAlignment="1">
      <alignment vertical="center"/>
    </xf>
    <xf numFmtId="3" fontId="4" fillId="3" borderId="0" xfId="0" applyNumberFormat="1" applyFont="1" applyFill="1" applyAlignment="1" applyProtection="1">
      <alignment vertical="center"/>
      <protection locked="0"/>
    </xf>
    <xf numFmtId="37" fontId="4" fillId="3" borderId="1" xfId="0" applyNumberFormat="1" applyFont="1" applyFill="1" applyBorder="1" applyAlignment="1">
      <alignment vertical="center"/>
    </xf>
    <xf numFmtId="164" fontId="4" fillId="4" borderId="1" xfId="0" applyNumberFormat="1" applyFont="1" applyFill="1" applyBorder="1" applyAlignment="1">
      <alignment vertical="center"/>
    </xf>
    <xf numFmtId="0" fontId="4" fillId="3" borderId="9" xfId="0" applyFont="1" applyFill="1" applyBorder="1" applyAlignment="1">
      <alignment vertical="center"/>
    </xf>
    <xf numFmtId="0" fontId="5" fillId="3" borderId="0" xfId="0" applyFont="1" applyFill="1" applyAlignment="1">
      <alignment horizontal="center" vertical="center"/>
    </xf>
    <xf numFmtId="3" fontId="4" fillId="3" borderId="0" xfId="0" applyNumberFormat="1" applyFont="1" applyFill="1" applyAlignment="1">
      <alignment vertical="center"/>
    </xf>
    <xf numFmtId="0" fontId="4" fillId="3" borderId="0" xfId="0" applyFont="1" applyFill="1" applyAlignment="1" applyProtection="1">
      <alignment vertical="center"/>
      <protection locked="0"/>
    </xf>
    <xf numFmtId="0" fontId="4" fillId="3"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vertical="center"/>
      <protection locked="0"/>
    </xf>
    <xf numFmtId="3" fontId="4" fillId="6" borderId="1" xfId="0" applyNumberFormat="1" applyFont="1" applyFill="1" applyBorder="1" applyAlignment="1" applyProtection="1">
      <alignment vertical="center"/>
      <protection locked="0"/>
    </xf>
    <xf numFmtId="0" fontId="4" fillId="8" borderId="8" xfId="0" applyFont="1" applyFill="1" applyBorder="1" applyAlignment="1">
      <alignment vertical="center"/>
    </xf>
    <xf numFmtId="0" fontId="4" fillId="3" borderId="9" xfId="0" applyFont="1" applyFill="1" applyBorder="1" applyAlignment="1" applyProtection="1">
      <alignment vertical="center"/>
      <protection locked="0"/>
    </xf>
    <xf numFmtId="0" fontId="0" fillId="0" borderId="0" xfId="0" applyAlignment="1">
      <alignment vertical="center"/>
    </xf>
    <xf numFmtId="37" fontId="4" fillId="3" borderId="8" xfId="0" applyNumberFormat="1" applyFont="1" applyFill="1" applyBorder="1" applyAlignment="1">
      <alignment horizontal="left" vertical="center"/>
    </xf>
    <xf numFmtId="37" fontId="4" fillId="6" borderId="1" xfId="0" applyNumberFormat="1" applyFont="1" applyFill="1" applyBorder="1" applyAlignment="1" applyProtection="1">
      <alignment vertical="center"/>
      <protection locked="0"/>
    </xf>
    <xf numFmtId="37" fontId="3" fillId="3" borderId="8" xfId="0" applyNumberFormat="1" applyFont="1" applyFill="1" applyBorder="1" applyAlignment="1">
      <alignment horizontal="left" vertical="center"/>
    </xf>
    <xf numFmtId="0" fontId="11" fillId="3" borderId="0" xfId="0" applyFont="1" applyFill="1" applyAlignment="1">
      <alignment horizontal="center" vertical="center"/>
    </xf>
    <xf numFmtId="0" fontId="4" fillId="3" borderId="10" xfId="0" applyFont="1" applyFill="1" applyBorder="1" applyAlignment="1">
      <alignment vertical="center"/>
    </xf>
    <xf numFmtId="0" fontId="0" fillId="3" borderId="2" xfId="0" applyFill="1" applyBorder="1" applyAlignment="1">
      <alignment vertical="center"/>
    </xf>
    <xf numFmtId="3" fontId="4" fillId="3" borderId="7" xfId="0" applyNumberFormat="1" applyFont="1" applyFill="1" applyBorder="1" applyAlignment="1">
      <alignment vertical="center"/>
    </xf>
    <xf numFmtId="3" fontId="4" fillId="3" borderId="9"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0" fillId="5" borderId="0" xfId="0" applyFill="1" applyAlignment="1">
      <alignment vertical="center"/>
    </xf>
    <xf numFmtId="0" fontId="4" fillId="7" borderId="5" xfId="0" applyFont="1" applyFill="1" applyBorder="1" applyAlignment="1">
      <alignment horizontal="center" vertical="center"/>
    </xf>
    <xf numFmtId="0" fontId="14" fillId="3" borderId="0" xfId="0" applyFont="1" applyFill="1" applyAlignment="1">
      <alignment vertical="center"/>
    </xf>
    <xf numFmtId="0" fontId="17" fillId="3" borderId="0" xfId="0" applyFont="1" applyFill="1" applyAlignment="1">
      <alignment vertical="center"/>
    </xf>
    <xf numFmtId="0" fontId="4" fillId="3" borderId="0" xfId="0" applyFont="1" applyFill="1" applyAlignment="1">
      <alignment horizontal="right" vertical="center"/>
    </xf>
    <xf numFmtId="37" fontId="4" fillId="3" borderId="0" xfId="0" applyNumberFormat="1" applyFont="1" applyFill="1" applyAlignment="1">
      <alignment horizontal="centerContinuous" vertical="center"/>
    </xf>
    <xf numFmtId="37" fontId="4" fillId="3" borderId="11" xfId="0" applyNumberFormat="1" applyFont="1" applyFill="1" applyBorder="1" applyAlignment="1">
      <alignment horizontal="centerContinuous" vertical="center"/>
    </xf>
    <xf numFmtId="0" fontId="4" fillId="3" borderId="8" xfId="0" applyFont="1" applyFill="1" applyBorder="1" applyAlignment="1">
      <alignment horizontal="centerContinuous" vertical="center"/>
    </xf>
    <xf numFmtId="0" fontId="4" fillId="3" borderId="9" xfId="0" applyFont="1" applyFill="1" applyBorder="1" applyAlignment="1">
      <alignment horizontal="centerContinuous" vertical="center"/>
    </xf>
    <xf numFmtId="37" fontId="4" fillId="3" borderId="2" xfId="0" applyNumberFormat="1" applyFont="1" applyFill="1" applyBorder="1" applyAlignment="1">
      <alignment horizontal="fill" vertical="center"/>
    </xf>
    <xf numFmtId="37" fontId="4" fillId="3" borderId="3" xfId="0" applyNumberFormat="1" applyFont="1" applyFill="1" applyBorder="1" applyAlignment="1">
      <alignment horizontal="left" vertical="center"/>
    </xf>
    <xf numFmtId="37" fontId="4" fillId="3" borderId="3" xfId="0" applyNumberFormat="1" applyFont="1" applyFill="1" applyBorder="1" applyAlignment="1">
      <alignment horizontal="center" vertical="center"/>
    </xf>
    <xf numFmtId="37" fontId="4" fillId="3"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37" fontId="3" fillId="3" borderId="2" xfId="0" applyNumberFormat="1" applyFont="1" applyFill="1" applyBorder="1" applyAlignment="1">
      <alignment horizontal="left" vertical="center"/>
    </xf>
    <xf numFmtId="37"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37" fontId="4" fillId="3" borderId="11" xfId="0" applyNumberFormat="1" applyFont="1" applyFill="1" applyBorder="1" applyAlignment="1">
      <alignment horizontal="left" vertical="center"/>
    </xf>
    <xf numFmtId="37" fontId="4" fillId="3" borderId="1" xfId="0" applyNumberFormat="1" applyFont="1" applyFill="1" applyBorder="1" applyAlignment="1">
      <alignment horizontal="center" vertical="center"/>
    </xf>
    <xf numFmtId="0" fontId="4" fillId="3" borderId="3" xfId="0" applyFont="1" applyFill="1" applyBorder="1" applyAlignment="1">
      <alignment vertical="center"/>
    </xf>
    <xf numFmtId="0" fontId="4" fillId="3" borderId="4" xfId="0" applyFont="1" applyFill="1" applyBorder="1" applyAlignment="1">
      <alignment vertical="center"/>
    </xf>
    <xf numFmtId="37" fontId="11" fillId="3" borderId="11" xfId="0" applyNumberFormat="1" applyFont="1" applyFill="1" applyBorder="1" applyAlignment="1">
      <alignment horizontal="left" vertical="center"/>
    </xf>
    <xf numFmtId="37" fontId="11" fillId="3" borderId="9"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5" xfId="0" applyFont="1" applyFill="1" applyBorder="1" applyAlignment="1">
      <alignment vertical="center"/>
    </xf>
    <xf numFmtId="37" fontId="4" fillId="4" borderId="1" xfId="0" applyNumberFormat="1" applyFont="1" applyFill="1" applyBorder="1" applyAlignment="1">
      <alignment horizontal="center" vertical="center"/>
    </xf>
    <xf numFmtId="37" fontId="4" fillId="3" borderId="11" xfId="0" applyNumberFormat="1" applyFont="1" applyFill="1" applyBorder="1" applyAlignment="1">
      <alignment vertical="center"/>
    </xf>
    <xf numFmtId="0" fontId="4" fillId="3" borderId="9" xfId="0" applyFont="1" applyFill="1" applyBorder="1" applyAlignment="1">
      <alignment horizontal="center" vertical="center"/>
    </xf>
    <xf numFmtId="37" fontId="4" fillId="3" borderId="9" xfId="0" applyNumberFormat="1"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37" fontId="4" fillId="3" borderId="0" xfId="0" applyNumberFormat="1" applyFont="1" applyFill="1" applyAlignment="1">
      <alignment horizontal="righ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3" fillId="3" borderId="0" xfId="0" applyFont="1" applyFill="1" applyAlignment="1">
      <alignment horizontal="center" vertical="center"/>
    </xf>
    <xf numFmtId="3" fontId="4" fillId="3" borderId="2" xfId="0" applyNumberFormat="1" applyFont="1" applyFill="1" applyBorder="1" applyAlignment="1">
      <alignment vertical="center"/>
    </xf>
    <xf numFmtId="3" fontId="4" fillId="3" borderId="10" xfId="0" applyNumberFormat="1" applyFont="1" applyFill="1" applyBorder="1" applyAlignment="1">
      <alignment vertical="center"/>
    </xf>
    <xf numFmtId="0" fontId="4" fillId="3" borderId="2" xfId="0" applyFont="1" applyFill="1" applyBorder="1" applyAlignment="1">
      <alignment horizontal="centerContinuous" vertical="center"/>
    </xf>
    <xf numFmtId="0" fontId="4" fillId="3" borderId="3" xfId="0" applyFont="1" applyFill="1" applyBorder="1" applyAlignment="1">
      <alignment horizontal="center" vertical="center"/>
    </xf>
    <xf numFmtId="166" fontId="4" fillId="3" borderId="0" xfId="0" applyNumberFormat="1" applyFont="1" applyFill="1" applyAlignment="1">
      <alignment vertical="center"/>
    </xf>
    <xf numFmtId="37" fontId="4" fillId="3" borderId="2" xfId="0" applyNumberFormat="1" applyFont="1" applyFill="1" applyBorder="1" applyAlignment="1">
      <alignment vertical="center"/>
    </xf>
    <xf numFmtId="165" fontId="4" fillId="4" borderId="2" xfId="0" applyNumberFormat="1" applyFont="1" applyFill="1" applyBorder="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 fontId="4" fillId="3" borderId="5" xfId="0" applyNumberFormat="1" applyFont="1" applyFill="1" applyBorder="1" applyAlignment="1">
      <alignment horizontal="center" vertical="center"/>
    </xf>
    <xf numFmtId="0" fontId="4" fillId="6" borderId="5" xfId="0" applyFont="1" applyFill="1" applyBorder="1" applyAlignment="1" applyProtection="1">
      <alignment vertical="center"/>
      <protection locked="0"/>
    </xf>
    <xf numFmtId="169" fontId="4" fillId="6" borderId="5" xfId="1" applyNumberFormat="1"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1" xfId="0" applyFont="1" applyFill="1" applyBorder="1" applyAlignment="1" applyProtection="1">
      <alignment vertical="center"/>
      <protection locked="0"/>
    </xf>
    <xf numFmtId="169" fontId="4" fillId="6" borderId="1" xfId="1" applyNumberFormat="1"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3" fontId="4" fillId="4" borderId="1" xfId="0" applyNumberFormat="1" applyFont="1" applyFill="1" applyBorder="1" applyAlignment="1">
      <alignment horizontal="center" vertical="center"/>
    </xf>
    <xf numFmtId="0" fontId="4" fillId="3" borderId="0" xfId="0" applyFont="1" applyFill="1" applyAlignment="1" applyProtection="1">
      <alignment horizontal="center" vertical="center"/>
      <protection locked="0"/>
    </xf>
    <xf numFmtId="37" fontId="3" fillId="3" borderId="1" xfId="0" applyNumberFormat="1" applyFont="1" applyFill="1" applyBorder="1" applyAlignment="1">
      <alignment horizontal="center" vertical="center"/>
    </xf>
    <xf numFmtId="0" fontId="4" fillId="6" borderId="1" xfId="0" applyFont="1" applyFill="1" applyBorder="1" applyAlignment="1" applyProtection="1">
      <alignment horizontal="center" vertical="center"/>
      <protection locked="0"/>
    </xf>
    <xf numFmtId="1" fontId="4" fillId="3" borderId="0" xfId="0" applyNumberFormat="1" applyFont="1" applyFill="1" applyAlignment="1">
      <alignment horizontal="right" vertical="center"/>
    </xf>
    <xf numFmtId="0" fontId="3" fillId="3" borderId="0" xfId="510" applyFont="1" applyFill="1" applyAlignment="1">
      <alignment horizontal="centerContinuous" vertical="center"/>
    </xf>
    <xf numFmtId="0" fontId="4" fillId="3" borderId="2" xfId="0" applyFont="1" applyFill="1" applyBorder="1" applyAlignment="1">
      <alignment horizontal="fill" vertical="center"/>
    </xf>
    <xf numFmtId="0" fontId="4" fillId="3" borderId="14" xfId="0" applyFont="1" applyFill="1" applyBorder="1" applyAlignment="1">
      <alignment horizontal="centerContinuous" vertical="center"/>
    </xf>
    <xf numFmtId="0" fontId="4" fillId="3" borderId="13" xfId="0" applyFont="1" applyFill="1" applyBorder="1" applyAlignment="1">
      <alignment horizontal="centerContinuous" vertical="center"/>
    </xf>
    <xf numFmtId="1" fontId="4" fillId="3" borderId="15" xfId="0" applyNumberFormat="1"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3" fontId="4" fillId="3" borderId="1" xfId="0" applyNumberFormat="1" applyFont="1" applyFill="1" applyBorder="1" applyAlignment="1">
      <alignment vertical="center"/>
    </xf>
    <xf numFmtId="2" fontId="4" fillId="2" borderId="1" xfId="0" applyNumberFormat="1" applyFont="1" applyFill="1" applyBorder="1" applyAlignment="1" applyProtection="1">
      <alignment horizontal="center" vertical="center"/>
      <protection locked="0"/>
    </xf>
    <xf numFmtId="3" fontId="4" fillId="2" borderId="1" xfId="0" applyNumberFormat="1" applyFont="1" applyFill="1" applyBorder="1" applyAlignment="1" applyProtection="1">
      <alignment horizontal="center" vertical="center"/>
      <protection locked="0"/>
    </xf>
    <xf numFmtId="37" fontId="4" fillId="2" borderId="1" xfId="0" applyNumberFormat="1" applyFont="1" applyFill="1" applyBorder="1" applyAlignment="1" applyProtection="1">
      <alignment horizontal="center" vertical="center"/>
      <protection locked="0"/>
    </xf>
    <xf numFmtId="168" fontId="4" fillId="2" borderId="1" xfId="0" applyNumberFormat="1" applyFont="1" applyFill="1" applyBorder="1" applyAlignment="1" applyProtection="1">
      <alignment horizontal="center" vertical="center"/>
      <protection locked="0"/>
    </xf>
    <xf numFmtId="0" fontId="3" fillId="3" borderId="1" xfId="0" applyFont="1" applyFill="1" applyBorder="1" applyAlignment="1">
      <alignment horizontal="left" vertical="center"/>
    </xf>
    <xf numFmtId="167" fontId="3" fillId="3"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37" fontId="3" fillId="4" borderId="1" xfId="0" applyNumberFormat="1" applyFont="1" applyFill="1" applyBorder="1" applyAlignment="1">
      <alignment horizontal="center" vertical="center"/>
    </xf>
    <xf numFmtId="168" fontId="3" fillId="3" borderId="1"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1" fontId="3" fillId="3"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37" fontId="4" fillId="0" borderId="0" xfId="0" applyNumberFormat="1" applyFont="1" applyAlignment="1" applyProtection="1">
      <alignment vertical="center"/>
      <protection locked="0"/>
    </xf>
    <xf numFmtId="0" fontId="4" fillId="0" borderId="0" xfId="0" applyFont="1" applyAlignment="1" applyProtection="1">
      <alignment horizontal="left" vertical="center"/>
      <protection locked="0"/>
    </xf>
    <xf numFmtId="0" fontId="3" fillId="3" borderId="0" xfId="0" applyFont="1" applyFill="1" applyAlignment="1">
      <alignment vertical="center"/>
    </xf>
    <xf numFmtId="0" fontId="4" fillId="3" borderId="0" xfId="0" applyFont="1" applyFill="1" applyAlignment="1">
      <alignment horizontal="fill" vertical="center"/>
    </xf>
    <xf numFmtId="0" fontId="4" fillId="3" borderId="11" xfId="0" applyFont="1" applyFill="1" applyBorder="1" applyAlignment="1">
      <alignment horizontal="left" vertical="center"/>
    </xf>
    <xf numFmtId="37" fontId="4" fillId="2" borderId="11" xfId="0" applyNumberFormat="1" applyFont="1" applyFill="1" applyBorder="1" applyAlignment="1" applyProtection="1">
      <alignment vertical="center"/>
      <protection locked="0"/>
    </xf>
    <xf numFmtId="37" fontId="4" fillId="2" borderId="9" xfId="0" applyNumberFormat="1" applyFont="1" applyFill="1" applyBorder="1" applyAlignment="1" applyProtection="1">
      <alignment vertical="center"/>
      <protection locked="0"/>
    </xf>
    <xf numFmtId="3" fontId="4" fillId="3" borderId="11" xfId="0" applyNumberFormat="1" applyFont="1" applyFill="1" applyBorder="1" applyAlignment="1">
      <alignment vertical="center"/>
    </xf>
    <xf numFmtId="0" fontId="4" fillId="3" borderId="15" xfId="0" applyFont="1" applyFill="1" applyBorder="1" applyAlignment="1">
      <alignment horizontal="left" vertical="center"/>
    </xf>
    <xf numFmtId="3" fontId="4" fillId="2" borderId="11" xfId="0" applyNumberFormat="1" applyFont="1" applyFill="1" applyBorder="1" applyAlignment="1" applyProtection="1">
      <alignment vertical="center"/>
      <protection locked="0"/>
    </xf>
    <xf numFmtId="3" fontId="4" fillId="2" borderId="9" xfId="0" applyNumberFormat="1" applyFont="1" applyFill="1" applyBorder="1" applyAlignment="1" applyProtection="1">
      <alignment vertical="center"/>
      <protection locked="0"/>
    </xf>
    <xf numFmtId="37" fontId="4" fillId="3" borderId="1" xfId="0" applyNumberFormat="1" applyFont="1" applyFill="1" applyBorder="1" applyAlignment="1">
      <alignment horizontal="fill" vertical="center"/>
    </xf>
    <xf numFmtId="37" fontId="4" fillId="2" borderId="1" xfId="0" applyNumberFormat="1" applyFont="1" applyFill="1" applyBorder="1" applyAlignment="1" applyProtection="1">
      <alignment vertical="center"/>
      <protection locked="0"/>
    </xf>
    <xf numFmtId="0" fontId="4" fillId="2" borderId="11" xfId="0" applyFont="1" applyFill="1" applyBorder="1" applyAlignment="1" applyProtection="1">
      <alignment horizontal="left" vertical="center"/>
      <protection locked="0"/>
    </xf>
    <xf numFmtId="37" fontId="14" fillId="9" borderId="11" xfId="0" applyNumberFormat="1" applyFont="1" applyFill="1" applyBorder="1" applyAlignment="1">
      <alignment horizontal="center" vertical="center"/>
    </xf>
    <xf numFmtId="37" fontId="14" fillId="9" borderId="9" xfId="0" applyNumberFormat="1" applyFont="1" applyFill="1" applyBorder="1" applyAlignment="1">
      <alignment horizontal="center" vertical="center"/>
    </xf>
    <xf numFmtId="37" fontId="3" fillId="3" borderId="11" xfId="0" applyNumberFormat="1" applyFont="1" applyFill="1" applyBorder="1" applyAlignment="1">
      <alignment horizontal="left" vertical="center"/>
    </xf>
    <xf numFmtId="37" fontId="3" fillId="4" borderId="1" xfId="0" applyNumberFormat="1" applyFont="1" applyFill="1" applyBorder="1" applyAlignment="1">
      <alignment vertical="center"/>
    </xf>
    <xf numFmtId="3" fontId="3" fillId="4" borderId="11" xfId="0" applyNumberFormat="1" applyFont="1" applyFill="1" applyBorder="1" applyAlignment="1">
      <alignment vertical="center"/>
    </xf>
    <xf numFmtId="3" fontId="3" fillId="4" borderId="1" xfId="0" applyNumberFormat="1" applyFont="1" applyFill="1" applyBorder="1" applyAlignment="1">
      <alignment vertical="center"/>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3" fontId="4" fillId="4" borderId="11" xfId="0" applyNumberFormat="1" applyFont="1" applyFill="1" applyBorder="1" applyAlignment="1">
      <alignment vertical="center"/>
    </xf>
    <xf numFmtId="3" fontId="4" fillId="0" borderId="0" xfId="0" applyNumberFormat="1" applyFont="1" applyAlignment="1" applyProtection="1">
      <alignment vertical="center"/>
      <protection locked="0"/>
    </xf>
    <xf numFmtId="0" fontId="4" fillId="2" borderId="11" xfId="0" applyFont="1" applyFill="1" applyBorder="1" applyAlignment="1" applyProtection="1">
      <alignment vertical="center"/>
      <protection locked="0"/>
    </xf>
    <xf numFmtId="0" fontId="4" fillId="3" borderId="11" xfId="0" applyFont="1" applyFill="1" applyBorder="1" applyAlignment="1">
      <alignment vertical="center"/>
    </xf>
    <xf numFmtId="0" fontId="14" fillId="0" borderId="0" xfId="0" applyFont="1" applyAlignment="1">
      <alignment vertical="center"/>
    </xf>
    <xf numFmtId="0" fontId="12" fillId="3" borderId="0" xfId="0" applyFont="1" applyFill="1" applyAlignment="1">
      <alignment horizontal="center" vertical="center"/>
    </xf>
    <xf numFmtId="1" fontId="4" fillId="3" borderId="3" xfId="0" applyNumberFormat="1" applyFont="1" applyFill="1" applyBorder="1" applyAlignment="1">
      <alignment horizontal="center" vertical="center"/>
    </xf>
    <xf numFmtId="0" fontId="4" fillId="6"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6" borderId="0" xfId="0" applyFont="1" applyFill="1" applyAlignment="1" applyProtection="1">
      <alignment horizontal="left" vertical="center"/>
      <protection locked="0"/>
    </xf>
    <xf numFmtId="37" fontId="3" fillId="4" borderId="6" xfId="0" applyNumberFormat="1" applyFont="1" applyFill="1" applyBorder="1" applyAlignment="1">
      <alignment vertical="center"/>
    </xf>
    <xf numFmtId="37" fontId="4" fillId="3" borderId="15" xfId="0" applyNumberFormat="1" applyFont="1" applyFill="1" applyBorder="1" applyAlignment="1">
      <alignment horizontal="left" vertical="center"/>
    </xf>
    <xf numFmtId="3" fontId="4" fillId="3" borderId="1" xfId="0" applyNumberFormat="1" applyFont="1" applyFill="1" applyBorder="1" applyAlignment="1">
      <alignment horizontal="fill" vertical="center"/>
    </xf>
    <xf numFmtId="3" fontId="4" fillId="10" borderId="1" xfId="0" applyNumberFormat="1" applyFont="1" applyFill="1" applyBorder="1" applyAlignment="1">
      <alignment vertical="center"/>
    </xf>
    <xf numFmtId="37" fontId="4" fillId="3" borderId="0" xfId="0" applyNumberFormat="1" applyFont="1" applyFill="1" applyAlignment="1">
      <alignment horizontal="fill" vertical="center"/>
    </xf>
    <xf numFmtId="3" fontId="4" fillId="0" borderId="0" xfId="0" applyNumberFormat="1" applyFont="1" applyAlignment="1" applyProtection="1">
      <alignment horizontal="fill" vertical="center"/>
      <protection locked="0"/>
    </xf>
    <xf numFmtId="0" fontId="4" fillId="6" borderId="11" xfId="0" applyFont="1" applyFill="1" applyBorder="1" applyAlignment="1" applyProtection="1">
      <alignment vertical="center"/>
      <protection locked="0"/>
    </xf>
    <xf numFmtId="3" fontId="4" fillId="3" borderId="1" xfId="0" applyNumberFormat="1"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3" fontId="4" fillId="3" borderId="2" xfId="0" applyNumberFormat="1" applyFont="1" applyFill="1" applyBorder="1" applyAlignment="1">
      <alignment horizontal="fill" vertical="center"/>
    </xf>
    <xf numFmtId="166" fontId="4" fillId="3" borderId="2" xfId="0" applyNumberFormat="1" applyFont="1" applyFill="1" applyBorder="1" applyAlignment="1">
      <alignment vertical="center"/>
    </xf>
    <xf numFmtId="37" fontId="4" fillId="3" borderId="2" xfId="0" quotePrefix="1" applyNumberFormat="1" applyFont="1" applyFill="1" applyBorder="1" applyAlignment="1">
      <alignment horizontal="right" vertical="center"/>
    </xf>
    <xf numFmtId="37" fontId="4" fillId="2" borderId="11" xfId="0" applyNumberFormat="1" applyFont="1" applyFill="1" applyBorder="1" applyAlignment="1" applyProtection="1">
      <alignment horizontal="left" vertical="center"/>
      <protection locked="0"/>
    </xf>
    <xf numFmtId="37" fontId="14" fillId="9" borderId="1" xfId="0" applyNumberFormat="1" applyFont="1" applyFill="1" applyBorder="1" applyAlignment="1">
      <alignment horizontal="center" vertical="center"/>
    </xf>
    <xf numFmtId="0" fontId="18" fillId="3" borderId="0" xfId="0" applyFont="1" applyFill="1" applyAlignment="1">
      <alignment horizontal="center" vertical="center"/>
    </xf>
    <xf numFmtId="0" fontId="10" fillId="3" borderId="3" xfId="0" applyFont="1" applyFill="1" applyBorder="1" applyAlignment="1">
      <alignment vertical="center"/>
    </xf>
    <xf numFmtId="0" fontId="10" fillId="3" borderId="9" xfId="0" applyFont="1" applyFill="1" applyBorder="1" applyAlignment="1">
      <alignment horizontal="center" vertical="center"/>
    </xf>
    <xf numFmtId="0" fontId="10" fillId="3" borderId="13" xfId="0" applyFont="1" applyFill="1" applyBorder="1" applyAlignment="1">
      <alignment vertical="center"/>
    </xf>
    <xf numFmtId="0" fontId="10" fillId="3" borderId="1" xfId="0" applyFont="1" applyFill="1" applyBorder="1" applyAlignment="1">
      <alignment horizontal="center" vertical="center"/>
    </xf>
    <xf numFmtId="0" fontId="10" fillId="3" borderId="15" xfId="0" applyFont="1" applyFill="1" applyBorder="1" applyAlignment="1">
      <alignment vertical="center"/>
    </xf>
    <xf numFmtId="3" fontId="10" fillId="6" borderId="1" xfId="0" applyNumberFormat="1" applyFont="1" applyFill="1" applyBorder="1" applyAlignment="1" applyProtection="1">
      <alignment horizontal="center" vertical="center"/>
      <protection locked="0"/>
    </xf>
    <xf numFmtId="0" fontId="10" fillId="3" borderId="2" xfId="0" applyFont="1" applyFill="1" applyBorder="1" applyAlignment="1">
      <alignment vertical="center"/>
    </xf>
    <xf numFmtId="3" fontId="10" fillId="4" borderId="1" xfId="0" applyNumberFormat="1" applyFont="1" applyFill="1" applyBorder="1" applyAlignment="1">
      <alignment horizontal="center" vertical="center"/>
    </xf>
    <xf numFmtId="0" fontId="10" fillId="3" borderId="0" xfId="0" applyFont="1" applyFill="1" applyAlignment="1">
      <alignment vertical="center"/>
    </xf>
    <xf numFmtId="3" fontId="10" fillId="3" borderId="0" xfId="0" applyNumberFormat="1" applyFont="1" applyFill="1" applyAlignment="1">
      <alignment horizontal="center" vertical="center"/>
    </xf>
    <xf numFmtId="0" fontId="10" fillId="3" borderId="0" xfId="0" applyFont="1" applyFill="1" applyAlignment="1">
      <alignment horizontal="center" vertical="center"/>
    </xf>
    <xf numFmtId="0" fontId="10" fillId="6" borderId="1" xfId="0" applyFont="1" applyFill="1" applyBorder="1" applyAlignment="1" applyProtection="1">
      <alignment vertical="center"/>
      <protection locked="0"/>
    </xf>
    <xf numFmtId="0" fontId="10" fillId="6" borderId="13" xfId="0" applyFont="1" applyFill="1" applyBorder="1" applyAlignment="1" applyProtection="1">
      <alignment vertical="center"/>
      <protection locked="0"/>
    </xf>
    <xf numFmtId="0" fontId="10" fillId="6" borderId="0" xfId="0" applyFont="1" applyFill="1" applyAlignment="1" applyProtection="1">
      <alignment vertical="center"/>
      <protection locked="0"/>
    </xf>
    <xf numFmtId="0" fontId="10" fillId="6" borderId="9" xfId="0" applyFont="1" applyFill="1" applyBorder="1" applyAlignment="1" applyProtection="1">
      <alignment vertical="center"/>
      <protection locked="0"/>
    </xf>
    <xf numFmtId="0" fontId="10" fillId="6" borderId="5" xfId="0" applyFont="1" applyFill="1" applyBorder="1" applyAlignment="1" applyProtection="1">
      <alignment vertical="center"/>
      <protection locked="0"/>
    </xf>
    <xf numFmtId="0" fontId="10" fillId="6" borderId="12" xfId="0" applyFont="1" applyFill="1" applyBorder="1" applyAlignment="1" applyProtection="1">
      <alignment vertical="center"/>
      <protection locked="0"/>
    </xf>
    <xf numFmtId="3" fontId="16" fillId="9" borderId="1" xfId="0" applyNumberFormat="1" applyFont="1" applyFill="1" applyBorder="1" applyAlignment="1">
      <alignment horizontal="center" vertical="center"/>
    </xf>
    <xf numFmtId="3" fontId="4" fillId="0" borderId="0" xfId="0" applyNumberFormat="1" applyFont="1" applyAlignment="1">
      <alignment vertical="center"/>
    </xf>
    <xf numFmtId="0" fontId="4" fillId="0" borderId="0" xfId="0" applyFont="1" applyAlignment="1">
      <alignment horizontal="centerContinuous" vertical="center"/>
    </xf>
    <xf numFmtId="1" fontId="4" fillId="3" borderId="11" xfId="0" applyNumberFormat="1" applyFont="1" applyFill="1" applyBorder="1" applyAlignment="1">
      <alignment horizontal="centerContinuous" vertical="center"/>
    </xf>
    <xf numFmtId="164" fontId="4" fillId="3" borderId="1" xfId="0" applyNumberFormat="1" applyFont="1" applyFill="1" applyBorder="1" applyAlignment="1">
      <alignment vertical="center"/>
    </xf>
    <xf numFmtId="37" fontId="4" fillId="3" borderId="5" xfId="0" applyNumberFormat="1" applyFont="1" applyFill="1" applyBorder="1" applyAlignment="1">
      <alignment horizontal="fill" vertical="center"/>
    </xf>
    <xf numFmtId="1" fontId="5" fillId="3" borderId="0" xfId="0" applyNumberFormat="1" applyFont="1" applyFill="1" applyAlignment="1">
      <alignment horizontal="center" vertical="center"/>
    </xf>
    <xf numFmtId="3" fontId="4" fillId="3" borderId="2"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3" fontId="4" fillId="6" borderId="1" xfId="0" applyNumberFormat="1" applyFont="1" applyFill="1" applyBorder="1" applyAlignment="1" applyProtection="1">
      <alignment horizontal="center" vertical="center"/>
      <protection locked="0"/>
    </xf>
    <xf numFmtId="171" fontId="4" fillId="3" borderId="1" xfId="0" applyNumberFormat="1" applyFont="1" applyFill="1" applyBorder="1" applyAlignment="1">
      <alignment horizontal="center" vertical="center"/>
    </xf>
    <xf numFmtId="3" fontId="4" fillId="6" borderId="3" xfId="0" applyNumberFormat="1" applyFont="1" applyFill="1" applyBorder="1" applyAlignment="1" applyProtection="1">
      <alignment horizontal="center" vertical="center"/>
      <protection locked="0"/>
    </xf>
    <xf numFmtId="3" fontId="4" fillId="3" borderId="6" xfId="0" applyNumberFormat="1" applyFont="1" applyFill="1" applyBorder="1" applyAlignment="1">
      <alignment horizontal="center" vertical="center"/>
    </xf>
    <xf numFmtId="171" fontId="4" fillId="3" borderId="6" xfId="0" applyNumberFormat="1" applyFont="1" applyFill="1" applyBorder="1" applyAlignment="1">
      <alignment horizontal="center" vertical="center"/>
    </xf>
    <xf numFmtId="171" fontId="4" fillId="3" borderId="2" xfId="0" applyNumberFormat="1" applyFont="1" applyFill="1" applyBorder="1" applyAlignment="1">
      <alignment horizontal="center" vertical="center"/>
    </xf>
    <xf numFmtId="171" fontId="4" fillId="3" borderId="0" xfId="0" applyNumberFormat="1" applyFont="1" applyFill="1" applyAlignment="1">
      <alignment horizontal="center" vertical="center"/>
    </xf>
    <xf numFmtId="0" fontId="0" fillId="3" borderId="0" xfId="0" applyFill="1" applyAlignment="1">
      <alignment horizontal="center" vertical="center"/>
    </xf>
    <xf numFmtId="170" fontId="4" fillId="3" borderId="0" xfId="0" applyNumberFormat="1" applyFont="1" applyFill="1" applyAlignment="1">
      <alignment vertical="center"/>
    </xf>
    <xf numFmtId="3" fontId="25" fillId="9" borderId="0" xfId="0" applyNumberFormat="1" applyFont="1" applyFill="1" applyAlignment="1">
      <alignment horizontal="center" vertical="center"/>
    </xf>
    <xf numFmtId="37" fontId="3" fillId="12" borderId="1" xfId="0" applyNumberFormat="1" applyFont="1" applyFill="1" applyBorder="1" applyAlignment="1">
      <alignment vertical="center"/>
    </xf>
    <xf numFmtId="37" fontId="4" fillId="12" borderId="1" xfId="0" applyNumberFormat="1" applyFont="1" applyFill="1" applyBorder="1" applyAlignment="1">
      <alignment vertical="center"/>
    </xf>
    <xf numFmtId="0" fontId="27" fillId="0" borderId="0" xfId="474"/>
    <xf numFmtId="0" fontId="4" fillId="0" borderId="0" xfId="474" applyFont="1" applyAlignment="1">
      <alignment horizontal="left" vertical="center"/>
    </xf>
    <xf numFmtId="0" fontId="28" fillId="0" borderId="0" xfId="0" applyFont="1"/>
    <xf numFmtId="0" fontId="40" fillId="3" borderId="0" xfId="0" applyFont="1" applyFill="1" applyAlignment="1" applyProtection="1">
      <alignment horizontal="right" vertical="center"/>
      <protection locked="0"/>
    </xf>
    <xf numFmtId="0" fontId="6" fillId="3" borderId="0" xfId="0" applyFont="1" applyFill="1" applyAlignment="1" applyProtection="1">
      <alignment horizontal="left" vertical="center"/>
      <protection locked="0"/>
    </xf>
    <xf numFmtId="14" fontId="4" fillId="2" borderId="1" xfId="0" applyNumberFormat="1" applyFont="1" applyFill="1" applyBorder="1" applyAlignment="1" applyProtection="1">
      <alignment horizontal="center" vertical="center"/>
      <protection locked="0"/>
    </xf>
    <xf numFmtId="3" fontId="10" fillId="4" borderId="5" xfId="0" applyNumberFormat="1" applyFont="1" applyFill="1" applyBorder="1" applyAlignment="1">
      <alignment horizontal="center" vertical="center"/>
    </xf>
    <xf numFmtId="3" fontId="4" fillId="10" borderId="11" xfId="0" applyNumberFormat="1" applyFont="1" applyFill="1" applyBorder="1" applyAlignment="1">
      <alignment vertical="center"/>
    </xf>
    <xf numFmtId="49" fontId="4" fillId="2" borderId="1" xfId="0" applyNumberFormat="1" applyFont="1" applyFill="1" applyBorder="1" applyAlignment="1" applyProtection="1">
      <alignment horizontal="center" vertical="center"/>
      <protection locked="0"/>
    </xf>
    <xf numFmtId="0" fontId="4" fillId="3" borderId="0" xfId="56" applyFont="1" applyFill="1" applyAlignment="1">
      <alignment horizontal="right" vertical="center"/>
    </xf>
    <xf numFmtId="0" fontId="2" fillId="0" borderId="0" xfId="51"/>
    <xf numFmtId="0" fontId="4" fillId="3" borderId="0" xfId="51" applyFont="1" applyFill="1" applyAlignment="1">
      <alignment vertical="center"/>
    </xf>
    <xf numFmtId="0" fontId="4" fillId="0" borderId="0" xfId="51" applyFont="1" applyAlignment="1" applyProtection="1">
      <alignment vertical="center"/>
      <protection locked="0"/>
    </xf>
    <xf numFmtId="37" fontId="4" fillId="3" borderId="0" xfId="51" applyNumberFormat="1" applyFont="1" applyFill="1" applyAlignment="1">
      <alignment horizontal="left" vertical="center"/>
    </xf>
    <xf numFmtId="0" fontId="3" fillId="3" borderId="0" xfId="51" applyFont="1" applyFill="1" applyAlignment="1">
      <alignment vertical="center"/>
    </xf>
    <xf numFmtId="3" fontId="4" fillId="2" borderId="1" xfId="51" applyNumberFormat="1" applyFont="1" applyFill="1" applyBorder="1" applyAlignment="1" applyProtection="1">
      <alignment vertical="center"/>
      <protection locked="0"/>
    </xf>
    <xf numFmtId="0" fontId="4" fillId="3" borderId="0" xfId="51" applyFont="1" applyFill="1" applyAlignment="1" applyProtection="1">
      <alignment vertical="center"/>
      <protection locked="0"/>
    </xf>
    <xf numFmtId="0" fontId="2" fillId="0" borderId="0" xfId="51" applyAlignment="1">
      <alignment vertical="center"/>
    </xf>
    <xf numFmtId="1" fontId="4" fillId="3" borderId="0" xfId="51" applyNumberFormat="1" applyFont="1" applyFill="1" applyAlignment="1">
      <alignment horizontal="right" vertical="center"/>
    </xf>
    <xf numFmtId="37" fontId="4" fillId="3" borderId="0" xfId="51" quotePrefix="1" applyNumberFormat="1" applyFont="1" applyFill="1" applyAlignment="1">
      <alignment horizontal="right" vertical="center"/>
    </xf>
    <xf numFmtId="37" fontId="4" fillId="3" borderId="11" xfId="51" applyNumberFormat="1" applyFont="1" applyFill="1" applyBorder="1" applyAlignment="1">
      <alignment horizontal="left" vertical="center"/>
    </xf>
    <xf numFmtId="3" fontId="4" fillId="3" borderId="1" xfId="51" applyNumberFormat="1" applyFont="1" applyFill="1" applyBorder="1" applyAlignment="1">
      <alignment vertical="center"/>
    </xf>
    <xf numFmtId="37" fontId="4" fillId="3" borderId="11" xfId="51" applyNumberFormat="1" applyFont="1" applyFill="1" applyBorder="1" applyAlignment="1">
      <alignment vertical="center"/>
    </xf>
    <xf numFmtId="0" fontId="4" fillId="3" borderId="11" xfId="51" applyFont="1" applyFill="1" applyBorder="1" applyAlignment="1">
      <alignment vertical="center"/>
    </xf>
    <xf numFmtId="37" fontId="4" fillId="3" borderId="0" xfId="51" applyNumberFormat="1" applyFont="1" applyFill="1" applyAlignment="1">
      <alignment vertical="center"/>
    </xf>
    <xf numFmtId="0" fontId="4" fillId="3" borderId="0" xfId="51" applyFont="1" applyFill="1" applyAlignment="1">
      <alignment horizontal="right" vertical="center"/>
    </xf>
    <xf numFmtId="37" fontId="4" fillId="3" borderId="0" xfId="51" applyNumberFormat="1" applyFont="1" applyFill="1" applyAlignment="1">
      <alignment horizontal="right" vertical="center"/>
    </xf>
    <xf numFmtId="37" fontId="4" fillId="3" borderId="0" xfId="51" applyNumberFormat="1" applyFont="1" applyFill="1" applyAlignment="1">
      <alignment horizontal="fill" vertical="center"/>
    </xf>
    <xf numFmtId="37" fontId="4" fillId="3" borderId="15" xfId="51" applyNumberFormat="1" applyFont="1" applyFill="1" applyBorder="1" applyAlignment="1">
      <alignment horizontal="left" vertical="center"/>
    </xf>
    <xf numFmtId="37" fontId="3" fillId="3" borderId="11" xfId="51" applyNumberFormat="1" applyFont="1" applyFill="1" applyBorder="1" applyAlignment="1">
      <alignment horizontal="left" vertical="center"/>
    </xf>
    <xf numFmtId="0" fontId="14" fillId="0" borderId="0" xfId="51" applyFont="1" applyAlignment="1">
      <alignment vertical="center"/>
    </xf>
    <xf numFmtId="0" fontId="12" fillId="3" borderId="0" xfId="51" applyFont="1" applyFill="1" applyAlignment="1">
      <alignment horizontal="center" vertical="center"/>
    </xf>
    <xf numFmtId="37" fontId="4" fillId="2" borderId="11" xfId="51" applyNumberFormat="1" applyFont="1" applyFill="1" applyBorder="1" applyAlignment="1" applyProtection="1">
      <alignment horizontal="left" vertical="center"/>
      <protection locked="0"/>
    </xf>
    <xf numFmtId="0" fontId="4" fillId="3" borderId="11" xfId="51" applyFont="1" applyFill="1" applyBorder="1" applyAlignment="1" applyProtection="1">
      <alignment vertical="center"/>
      <protection locked="0"/>
    </xf>
    <xf numFmtId="3" fontId="4" fillId="3" borderId="1" xfId="51" applyNumberFormat="1" applyFont="1" applyFill="1" applyBorder="1" applyAlignment="1">
      <alignment horizontal="fill" vertical="center"/>
    </xf>
    <xf numFmtId="0" fontId="4" fillId="2" borderId="11" xfId="51" applyFont="1" applyFill="1" applyBorder="1" applyAlignment="1" applyProtection="1">
      <alignment horizontal="left" vertical="center"/>
      <protection locked="0"/>
    </xf>
    <xf numFmtId="3" fontId="3" fillId="3" borderId="1" xfId="51" applyNumberFormat="1" applyFont="1" applyFill="1" applyBorder="1" applyAlignment="1">
      <alignment vertical="center"/>
    </xf>
    <xf numFmtId="37" fontId="4" fillId="6" borderId="11" xfId="51" applyNumberFormat="1" applyFont="1" applyFill="1" applyBorder="1" applyAlignment="1" applyProtection="1">
      <alignment horizontal="right" vertical="center"/>
      <protection locked="0"/>
    </xf>
    <xf numFmtId="3" fontId="4" fillId="3" borderId="11" xfId="51" applyNumberFormat="1" applyFont="1" applyFill="1" applyBorder="1" applyAlignment="1">
      <alignment vertical="center"/>
    </xf>
    <xf numFmtId="37" fontId="4" fillId="6" borderId="11" xfId="51" applyNumberFormat="1" applyFont="1" applyFill="1" applyBorder="1" applyAlignment="1" applyProtection="1">
      <alignment vertical="center"/>
      <protection locked="0"/>
    </xf>
    <xf numFmtId="3" fontId="4" fillId="2" borderId="11" xfId="51" applyNumberFormat="1" applyFont="1" applyFill="1" applyBorder="1" applyAlignment="1" applyProtection="1">
      <alignment vertical="center"/>
      <protection locked="0"/>
    </xf>
    <xf numFmtId="3" fontId="3" fillId="3" borderId="11" xfId="51" applyNumberFormat="1" applyFont="1" applyFill="1" applyBorder="1" applyAlignment="1">
      <alignment vertical="center"/>
    </xf>
    <xf numFmtId="37" fontId="3" fillId="3" borderId="2" xfId="51" applyNumberFormat="1" applyFont="1" applyFill="1" applyBorder="1" applyAlignment="1">
      <alignment vertical="center"/>
    </xf>
    <xf numFmtId="37" fontId="3" fillId="3" borderId="0" xfId="51" applyNumberFormat="1" applyFont="1" applyFill="1" applyAlignment="1">
      <alignment vertical="center"/>
    </xf>
    <xf numFmtId="0" fontId="7" fillId="7" borderId="1" xfId="0" applyFont="1" applyFill="1" applyBorder="1" applyAlignment="1">
      <alignment vertical="center" shrinkToFit="1"/>
    </xf>
    <xf numFmtId="37" fontId="4" fillId="3" borderId="4" xfId="51" applyNumberFormat="1" applyFont="1" applyFill="1" applyBorder="1" applyAlignment="1">
      <alignment horizontal="center" vertical="center"/>
    </xf>
    <xf numFmtId="37" fontId="4" fillId="3" borderId="5" xfId="51" applyNumberFormat="1" applyFont="1" applyFill="1" applyBorder="1" applyAlignment="1">
      <alignment horizontal="center" vertical="center"/>
    </xf>
    <xf numFmtId="0" fontId="30" fillId="0" borderId="0" xfId="0" applyFont="1" applyAlignment="1">
      <alignment vertical="center"/>
    </xf>
    <xf numFmtId="0" fontId="4" fillId="0" borderId="0" xfId="0" applyFont="1" applyAlignment="1">
      <alignment wrapText="1"/>
    </xf>
    <xf numFmtId="3" fontId="4" fillId="3" borderId="5"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3" fontId="4" fillId="6" borderId="11" xfId="51" applyNumberFormat="1" applyFont="1" applyFill="1" applyBorder="1" applyAlignment="1" applyProtection="1">
      <alignment horizontal="right" vertical="center"/>
      <protection locked="0"/>
    </xf>
    <xf numFmtId="0" fontId="4" fillId="0" borderId="0" xfId="56" applyFont="1" applyAlignment="1">
      <alignment vertical="center" wrapText="1"/>
    </xf>
    <xf numFmtId="0" fontId="19" fillId="0" borderId="0" xfId="0" applyFont="1"/>
    <xf numFmtId="0" fontId="20" fillId="0" borderId="0" xfId="0" applyFont="1" applyAlignment="1">
      <alignment horizontal="center"/>
    </xf>
    <xf numFmtId="0" fontId="3" fillId="0" borderId="0" xfId="0" applyFont="1" applyAlignment="1">
      <alignment wrapText="1"/>
    </xf>
    <xf numFmtId="0" fontId="20" fillId="0" borderId="0" xfId="0" applyFont="1" applyAlignment="1">
      <alignment horizontal="center" vertical="center"/>
    </xf>
    <xf numFmtId="0" fontId="3" fillId="0" borderId="0" xfId="0" applyFont="1" applyAlignment="1">
      <alignment vertical="center" wrapText="1"/>
    </xf>
    <xf numFmtId="0" fontId="19" fillId="0" borderId="0" xfId="0" applyFont="1" applyAlignment="1">
      <alignment vertical="center"/>
    </xf>
    <xf numFmtId="0" fontId="22" fillId="0" borderId="0" xfId="0" applyFont="1" applyAlignment="1">
      <alignment vertical="center" wrapText="1"/>
    </xf>
    <xf numFmtId="0" fontId="6" fillId="0" borderId="0" xfId="0" applyFont="1" applyAlignment="1">
      <alignment vertical="center"/>
    </xf>
    <xf numFmtId="0" fontId="21" fillId="0" borderId="0" xfId="0" applyFont="1" applyAlignment="1">
      <alignment vertical="center" wrapText="1"/>
    </xf>
    <xf numFmtId="0" fontId="23" fillId="0" borderId="0" xfId="0" applyFont="1" applyAlignment="1">
      <alignment vertical="center"/>
    </xf>
    <xf numFmtId="0" fontId="41" fillId="0" borderId="0" xfId="0" applyFont="1" applyAlignment="1">
      <alignment wrapText="1"/>
    </xf>
    <xf numFmtId="0" fontId="22" fillId="0" borderId="0" xfId="0" applyFont="1" applyAlignment="1">
      <alignment wrapText="1"/>
    </xf>
    <xf numFmtId="171" fontId="4" fillId="14" borderId="12" xfId="51" applyNumberFormat="1" applyFont="1" applyFill="1" applyBorder="1" applyAlignment="1" applyProtection="1">
      <alignment horizontal="center"/>
      <protection locked="0"/>
    </xf>
    <xf numFmtId="0" fontId="33" fillId="13" borderId="16" xfId="51" applyFont="1" applyFill="1" applyBorder="1"/>
    <xf numFmtId="0" fontId="4" fillId="13" borderId="0" xfId="51" applyFont="1" applyFill="1"/>
    <xf numFmtId="172" fontId="4" fillId="13" borderId="12" xfId="51" applyNumberFormat="1" applyFont="1" applyFill="1" applyBorder="1" applyAlignment="1">
      <alignment horizontal="center"/>
    </xf>
    <xf numFmtId="0" fontId="4" fillId="13" borderId="15" xfId="51" applyFont="1" applyFill="1" applyBorder="1"/>
    <xf numFmtId="0" fontId="4" fillId="13" borderId="2" xfId="51" applyFont="1" applyFill="1" applyBorder="1"/>
    <xf numFmtId="172" fontId="4" fillId="16" borderId="7" xfId="51" applyNumberFormat="1" applyFont="1" applyFill="1" applyBorder="1" applyAlignment="1">
      <alignment horizontal="center"/>
    </xf>
    <xf numFmtId="0" fontId="4" fillId="0" borderId="0" xfId="51" applyFont="1"/>
    <xf numFmtId="0" fontId="4" fillId="13" borderId="16" xfId="51" applyFont="1" applyFill="1" applyBorder="1"/>
    <xf numFmtId="0" fontId="4" fillId="13" borderId="12" xfId="51" applyFont="1" applyFill="1" applyBorder="1"/>
    <xf numFmtId="170" fontId="4" fillId="13" borderId="12" xfId="51" applyNumberFormat="1" applyFont="1" applyFill="1" applyBorder="1" applyAlignment="1">
      <alignment horizontal="center"/>
    </xf>
    <xf numFmtId="0" fontId="4" fillId="16" borderId="16" xfId="51" applyFont="1" applyFill="1" applyBorder="1"/>
    <xf numFmtId="0" fontId="4" fillId="16" borderId="0" xfId="51" applyFont="1" applyFill="1"/>
    <xf numFmtId="0" fontId="4" fillId="16" borderId="15" xfId="51" applyFont="1" applyFill="1" applyBorder="1"/>
    <xf numFmtId="0" fontId="4" fillId="16" borderId="2" xfId="51" applyFont="1" applyFill="1" applyBorder="1"/>
    <xf numFmtId="172" fontId="4" fillId="13" borderId="7" xfId="51" applyNumberFormat="1" applyFont="1" applyFill="1" applyBorder="1" applyAlignment="1">
      <alignment horizontal="center"/>
    </xf>
    <xf numFmtId="0" fontId="42" fillId="0" borderId="0" xfId="0" applyFont="1" applyAlignment="1">
      <alignment vertical="center"/>
    </xf>
    <xf numFmtId="0" fontId="43" fillId="0" borderId="0" xfId="0" applyFont="1" applyAlignment="1" applyProtection="1">
      <alignment horizontal="center" vertical="center"/>
      <protection locked="0"/>
    </xf>
    <xf numFmtId="0" fontId="44" fillId="3" borderId="0" xfId="0" applyFont="1" applyFill="1" applyAlignment="1">
      <alignment horizontal="center" vertical="center"/>
    </xf>
    <xf numFmtId="37" fontId="4" fillId="3" borderId="17" xfId="0" applyNumberFormat="1" applyFont="1" applyFill="1" applyBorder="1" applyAlignment="1">
      <alignment vertical="center"/>
    </xf>
    <xf numFmtId="0" fontId="4" fillId="3" borderId="17" xfId="0" applyFont="1" applyFill="1" applyBorder="1" applyAlignment="1">
      <alignment vertical="center"/>
    </xf>
    <xf numFmtId="37" fontId="3" fillId="3" borderId="0" xfId="0" applyNumberFormat="1" applyFont="1" applyFill="1" applyAlignment="1">
      <alignment vertical="center"/>
    </xf>
    <xf numFmtId="0" fontId="4" fillId="13" borderId="0" xfId="51" applyFont="1" applyFill="1" applyAlignment="1" applyProtection="1">
      <alignment vertical="center"/>
      <protection locked="0"/>
    </xf>
    <xf numFmtId="0" fontId="4" fillId="13" borderId="0" xfId="51" applyFont="1" applyFill="1" applyAlignment="1">
      <alignment vertical="center"/>
    </xf>
    <xf numFmtId="0" fontId="33" fillId="13" borderId="0" xfId="51" applyFont="1" applyFill="1" applyAlignment="1" applyProtection="1">
      <alignment vertical="center"/>
      <protection locked="0"/>
    </xf>
    <xf numFmtId="172" fontId="33" fillId="14" borderId="1" xfId="51" applyNumberFormat="1" applyFont="1" applyFill="1" applyBorder="1" applyAlignment="1" applyProtection="1">
      <alignment horizontal="center" vertical="center"/>
      <protection locked="0"/>
    </xf>
    <xf numFmtId="0" fontId="4" fillId="13" borderId="16" xfId="51" applyFont="1" applyFill="1" applyBorder="1" applyAlignment="1">
      <alignment vertical="center"/>
    </xf>
    <xf numFmtId="0" fontId="4" fillId="13" borderId="12" xfId="51" applyFont="1" applyFill="1" applyBorder="1" applyAlignment="1">
      <alignment vertical="center"/>
    </xf>
    <xf numFmtId="172" fontId="33" fillId="13" borderId="16" xfId="51" applyNumberFormat="1" applyFont="1" applyFill="1" applyBorder="1" applyAlignment="1">
      <alignment horizontal="center" vertical="center"/>
    </xf>
    <xf numFmtId="0" fontId="33" fillId="13" borderId="0" xfId="51" applyFont="1" applyFill="1" applyAlignment="1">
      <alignment horizontal="left" vertical="center"/>
    </xf>
    <xf numFmtId="0" fontId="33" fillId="13" borderId="12" xfId="51" applyFont="1" applyFill="1" applyBorder="1" applyAlignment="1">
      <alignment vertical="center"/>
    </xf>
    <xf numFmtId="0" fontId="33" fillId="13" borderId="0" xfId="51" applyFont="1" applyFill="1" applyAlignment="1">
      <alignment vertical="center"/>
    </xf>
    <xf numFmtId="172" fontId="33" fillId="13" borderId="15" xfId="51" applyNumberFormat="1" applyFont="1" applyFill="1" applyBorder="1" applyAlignment="1">
      <alignment horizontal="center" vertical="center"/>
    </xf>
    <xf numFmtId="172" fontId="33" fillId="13" borderId="16" xfId="51" applyNumberFormat="1" applyFont="1" applyFill="1" applyBorder="1" applyAlignment="1">
      <alignment vertical="center"/>
    </xf>
    <xf numFmtId="0" fontId="35" fillId="16" borderId="2" xfId="51" applyFont="1" applyFill="1" applyBorder="1" applyAlignment="1">
      <alignment vertical="center"/>
    </xf>
    <xf numFmtId="0" fontId="33" fillId="16" borderId="7" xfId="51" applyFont="1" applyFill="1" applyBorder="1" applyAlignment="1">
      <alignment vertical="center"/>
    </xf>
    <xf numFmtId="0" fontId="4" fillId="16" borderId="7" xfId="51" applyFont="1" applyFill="1" applyBorder="1" applyAlignment="1">
      <alignment vertical="center"/>
    </xf>
    <xf numFmtId="0" fontId="33" fillId="13" borderId="16" xfId="51" applyFont="1" applyFill="1" applyBorder="1" applyAlignment="1">
      <alignment horizontal="left" vertical="center"/>
    </xf>
    <xf numFmtId="172" fontId="35" fillId="16" borderId="15" xfId="51" applyNumberFormat="1" applyFont="1" applyFill="1" applyBorder="1" applyAlignment="1">
      <alignment horizontal="center" vertical="center"/>
    </xf>
    <xf numFmtId="172" fontId="35" fillId="16" borderId="7" xfId="51" applyNumberFormat="1" applyFont="1" applyFill="1" applyBorder="1" applyAlignment="1" applyProtection="1">
      <alignment horizontal="center" vertical="center"/>
      <protection locked="0"/>
    </xf>
    <xf numFmtId="171" fontId="33" fillId="13" borderId="9" xfId="51" applyNumberFormat="1" applyFont="1" applyFill="1" applyBorder="1" applyAlignment="1" applyProtection="1">
      <alignment horizontal="center" vertical="center"/>
      <protection locked="0"/>
    </xf>
    <xf numFmtId="0" fontId="33" fillId="13" borderId="16" xfId="51" applyFont="1" applyFill="1" applyBorder="1" applyAlignment="1">
      <alignment vertical="center"/>
    </xf>
    <xf numFmtId="37" fontId="4" fillId="0" borderId="0" xfId="0" applyNumberFormat="1" applyFont="1" applyAlignment="1">
      <alignment horizontal="center" vertical="center"/>
    </xf>
    <xf numFmtId="3" fontId="4" fillId="3" borderId="0" xfId="0" applyNumberFormat="1" applyFont="1" applyFill="1" applyAlignment="1">
      <alignment horizontal="center" vertical="center"/>
    </xf>
    <xf numFmtId="3" fontId="4" fillId="0" borderId="0" xfId="0" applyNumberFormat="1" applyFont="1" applyAlignment="1">
      <alignment horizontal="center" vertical="center"/>
    </xf>
    <xf numFmtId="170" fontId="4" fillId="3" borderId="0" xfId="0" applyNumberFormat="1" applyFont="1" applyFill="1" applyAlignment="1">
      <alignment horizontal="center" vertical="center"/>
    </xf>
    <xf numFmtId="3" fontId="4" fillId="12" borderId="6" xfId="0" applyNumberFormat="1" applyFont="1" applyFill="1" applyBorder="1" applyAlignment="1">
      <alignment horizontal="center" vertical="center"/>
    </xf>
    <xf numFmtId="37" fontId="6" fillId="3" borderId="3" xfId="0" applyNumberFormat="1" applyFont="1" applyFill="1" applyBorder="1" applyAlignment="1">
      <alignment horizontal="center" vertical="center"/>
    </xf>
    <xf numFmtId="1" fontId="6" fillId="3" borderId="3" xfId="0" applyNumberFormat="1" applyFont="1" applyFill="1" applyBorder="1" applyAlignment="1">
      <alignment horizontal="center" vertical="center"/>
    </xf>
    <xf numFmtId="0" fontId="3" fillId="3" borderId="2" xfId="0" applyFont="1" applyFill="1" applyBorder="1" applyAlignment="1">
      <alignment vertical="center"/>
    </xf>
    <xf numFmtId="172" fontId="4" fillId="16" borderId="12" xfId="51" applyNumberFormat="1" applyFont="1" applyFill="1" applyBorder="1" applyAlignment="1">
      <alignment horizontal="center"/>
    </xf>
    <xf numFmtId="0" fontId="4" fillId="16" borderId="15" xfId="0" applyFont="1" applyFill="1" applyBorder="1" applyAlignment="1">
      <alignment vertical="center"/>
    </xf>
    <xf numFmtId="0" fontId="4" fillId="16" borderId="2" xfId="0" applyFont="1" applyFill="1" applyBorder="1" applyAlignment="1">
      <alignment vertical="center"/>
    </xf>
    <xf numFmtId="172" fontId="4" fillId="16" borderId="7" xfId="0" applyNumberFormat="1" applyFont="1" applyFill="1" applyBorder="1" applyAlignment="1">
      <alignment horizontal="center" vertical="center"/>
    </xf>
    <xf numFmtId="0" fontId="4" fillId="3" borderId="0" xfId="13" applyNumberFormat="1" applyFont="1" applyFill="1" applyBorder="1" applyAlignment="1" applyProtection="1">
      <alignment horizontal="right" vertical="center"/>
    </xf>
    <xf numFmtId="0" fontId="4" fillId="3" borderId="4" xfId="0" applyFont="1" applyFill="1" applyBorder="1"/>
    <xf numFmtId="10" fontId="4" fillId="2" borderId="1" xfId="0" applyNumberFormat="1" applyFont="1" applyFill="1" applyBorder="1" applyAlignment="1" applyProtection="1">
      <alignment vertical="center"/>
      <protection locked="0"/>
    </xf>
    <xf numFmtId="170" fontId="4" fillId="3" borderId="9" xfId="0" applyNumberFormat="1" applyFont="1" applyFill="1" applyBorder="1" applyAlignment="1">
      <alignment vertical="center"/>
    </xf>
    <xf numFmtId="49" fontId="4" fillId="3" borderId="0" xfId="0" applyNumberFormat="1" applyFont="1" applyFill="1" applyAlignment="1">
      <alignment horizontal="left" vertical="center"/>
    </xf>
    <xf numFmtId="0" fontId="35" fillId="16" borderId="16" xfId="51" applyFont="1" applyFill="1" applyBorder="1" applyAlignment="1" applyProtection="1">
      <alignment vertical="center"/>
      <protection locked="0"/>
    </xf>
    <xf numFmtId="0" fontId="4" fillId="16" borderId="0" xfId="51" applyFont="1" applyFill="1" applyAlignment="1" applyProtection="1">
      <alignment vertical="center"/>
      <protection locked="0"/>
    </xf>
    <xf numFmtId="0" fontId="33" fillId="16" borderId="0" xfId="51" applyFont="1" applyFill="1" applyAlignment="1" applyProtection="1">
      <alignment vertical="center"/>
      <protection locked="0"/>
    </xf>
    <xf numFmtId="0" fontId="33" fillId="13" borderId="15" xfId="0" applyFont="1" applyFill="1" applyBorder="1" applyAlignment="1" applyProtection="1">
      <alignment vertical="center"/>
      <protection locked="0"/>
    </xf>
    <xf numFmtId="0" fontId="33" fillId="13" borderId="2" xfId="0" applyFont="1" applyFill="1" applyBorder="1" applyAlignment="1" applyProtection="1">
      <alignment vertical="center"/>
      <protection locked="0"/>
    </xf>
    <xf numFmtId="0" fontId="4" fillId="13" borderId="2" xfId="0" applyFont="1" applyFill="1" applyBorder="1" applyAlignment="1" applyProtection="1">
      <alignment vertical="center"/>
      <protection locked="0"/>
    </xf>
    <xf numFmtId="0" fontId="33" fillId="13" borderId="0" xfId="0" applyFont="1" applyFill="1" applyAlignment="1">
      <alignment horizontal="left" vertical="center"/>
    </xf>
    <xf numFmtId="0" fontId="42" fillId="0" borderId="0" xfId="0" applyFont="1" applyProtection="1">
      <protection locked="0"/>
    </xf>
    <xf numFmtId="0" fontId="4" fillId="13" borderId="12" xfId="0" applyFont="1" applyFill="1" applyBorder="1" applyAlignment="1" applyProtection="1">
      <alignment vertical="center"/>
      <protection locked="0"/>
    </xf>
    <xf numFmtId="3" fontId="4" fillId="9" borderId="6" xfId="51" applyNumberFormat="1" applyFont="1" applyFill="1" applyBorder="1" applyAlignment="1">
      <alignment vertical="center"/>
    </xf>
    <xf numFmtId="3" fontId="4" fillId="10" borderId="6" xfId="0" applyNumberFormat="1" applyFont="1" applyFill="1" applyBorder="1" applyAlignment="1">
      <alignment vertical="center"/>
    </xf>
    <xf numFmtId="3" fontId="4" fillId="9" borderId="6" xfId="0" applyNumberFormat="1" applyFont="1" applyFill="1" applyBorder="1" applyAlignment="1">
      <alignment vertical="center"/>
    </xf>
    <xf numFmtId="0" fontId="33" fillId="13" borderId="16" xfId="0" applyFont="1" applyFill="1" applyBorder="1" applyAlignment="1">
      <alignment vertical="center"/>
    </xf>
    <xf numFmtId="0" fontId="4" fillId="13" borderId="0" xfId="0" applyFont="1" applyFill="1" applyAlignment="1">
      <alignment vertical="center"/>
    </xf>
    <xf numFmtId="0" fontId="33" fillId="13" borderId="0" xfId="0" applyFont="1" applyFill="1" applyAlignment="1">
      <alignment vertical="center"/>
    </xf>
    <xf numFmtId="172" fontId="33" fillId="13" borderId="12" xfId="0" applyNumberFormat="1" applyFont="1" applyFill="1" applyBorder="1" applyAlignment="1">
      <alignment horizontal="center" vertical="center"/>
    </xf>
    <xf numFmtId="0" fontId="33" fillId="13" borderId="16" xfId="0" applyFont="1" applyFill="1" applyBorder="1" applyAlignment="1">
      <alignment horizontal="left" vertical="center"/>
    </xf>
    <xf numFmtId="172" fontId="33" fillId="14" borderId="1" xfId="0" applyNumberFormat="1" applyFont="1" applyFill="1" applyBorder="1" applyAlignment="1" applyProtection="1">
      <alignment horizontal="center" vertical="center"/>
      <protection locked="0"/>
    </xf>
    <xf numFmtId="171" fontId="35" fillId="13" borderId="9" xfId="0" applyNumberFormat="1" applyFont="1" applyFill="1" applyBorder="1" applyAlignment="1">
      <alignment horizontal="center" vertical="center"/>
    </xf>
    <xf numFmtId="0" fontId="35" fillId="16" borderId="16" xfId="0" applyFont="1" applyFill="1" applyBorder="1" applyAlignment="1">
      <alignment vertical="center"/>
    </xf>
    <xf numFmtId="0" fontId="4" fillId="16" borderId="0" xfId="0" applyFont="1" applyFill="1" applyAlignment="1">
      <alignment vertical="center"/>
    </xf>
    <xf numFmtId="0" fontId="33" fillId="16" borderId="0" xfId="0" applyFont="1" applyFill="1" applyAlignment="1">
      <alignment vertical="center"/>
    </xf>
    <xf numFmtId="172" fontId="35" fillId="16" borderId="9" xfId="0" applyNumberFormat="1" applyFont="1" applyFill="1" applyBorder="1" applyAlignment="1">
      <alignment horizontal="center" vertical="center"/>
    </xf>
    <xf numFmtId="37" fontId="33" fillId="3" borderId="15" xfId="0" applyNumberFormat="1" applyFont="1" applyFill="1" applyBorder="1" applyAlignment="1">
      <alignment horizontal="left" vertical="center"/>
    </xf>
    <xf numFmtId="0" fontId="37" fillId="13" borderId="2" xfId="0" applyFont="1" applyFill="1" applyBorder="1" applyAlignment="1">
      <alignment horizontal="left" vertical="center"/>
    </xf>
    <xf numFmtId="172" fontId="35" fillId="16" borderId="7" xfId="0" applyNumberFormat="1" applyFont="1" applyFill="1" applyBorder="1" applyAlignment="1" applyProtection="1">
      <alignment horizontal="center" vertical="center"/>
      <protection locked="0"/>
    </xf>
    <xf numFmtId="0" fontId="4" fillId="13" borderId="16" xfId="0" applyFont="1" applyFill="1" applyBorder="1" applyAlignment="1">
      <alignment vertical="center"/>
    </xf>
    <xf numFmtId="0" fontId="4" fillId="13" borderId="12" xfId="0" applyFont="1" applyFill="1" applyBorder="1" applyProtection="1">
      <protection locked="0"/>
    </xf>
    <xf numFmtId="172" fontId="33" fillId="13" borderId="16" xfId="0" applyNumberFormat="1" applyFont="1" applyFill="1" applyBorder="1" applyAlignment="1">
      <alignment horizontal="center" vertical="center"/>
    </xf>
    <xf numFmtId="0" fontId="33" fillId="13" borderId="12" xfId="0" applyFont="1" applyFill="1" applyBorder="1" applyAlignment="1">
      <alignment vertical="center"/>
    </xf>
    <xf numFmtId="172" fontId="33" fillId="13" borderId="15" xfId="0" applyNumberFormat="1" applyFont="1" applyFill="1" applyBorder="1" applyAlignment="1">
      <alignment horizontal="center" vertical="center"/>
    </xf>
    <xf numFmtId="0" fontId="36" fillId="0" borderId="0" xfId="0" applyFont="1" applyAlignment="1">
      <alignment horizontal="right" vertical="center"/>
    </xf>
    <xf numFmtId="172" fontId="10" fillId="13" borderId="16" xfId="0" applyNumberFormat="1" applyFont="1" applyFill="1" applyBorder="1" applyAlignment="1">
      <alignment horizontal="center" vertical="center"/>
    </xf>
    <xf numFmtId="0" fontId="4" fillId="13" borderId="12" xfId="0" applyFont="1" applyFill="1" applyBorder="1" applyAlignment="1">
      <alignment vertical="center"/>
    </xf>
    <xf numFmtId="172" fontId="10" fillId="13" borderId="16" xfId="0" applyNumberFormat="1" applyFont="1" applyFill="1" applyBorder="1" applyAlignment="1">
      <alignment vertical="center"/>
    </xf>
    <xf numFmtId="0" fontId="10" fillId="13" borderId="0" xfId="0" applyFont="1" applyFill="1" applyAlignment="1">
      <alignment vertical="center"/>
    </xf>
    <xf numFmtId="172" fontId="10" fillId="13" borderId="15" xfId="0" applyNumberFormat="1" applyFont="1" applyFill="1" applyBorder="1" applyAlignment="1">
      <alignment horizontal="center" vertical="center"/>
    </xf>
    <xf numFmtId="172" fontId="10" fillId="16" borderId="15" xfId="0" applyNumberFormat="1" applyFont="1" applyFill="1" applyBorder="1" applyAlignment="1">
      <alignment horizontal="center" vertical="center"/>
    </xf>
    <xf numFmtId="0" fontId="10" fillId="16" borderId="2" xfId="0" applyFont="1" applyFill="1" applyBorder="1" applyAlignment="1">
      <alignment vertical="center"/>
    </xf>
    <xf numFmtId="0" fontId="4" fillId="16" borderId="7" xfId="0" applyFont="1" applyFill="1" applyBorder="1" applyAlignment="1">
      <alignment vertical="center"/>
    </xf>
    <xf numFmtId="0" fontId="4" fillId="16" borderId="7" xfId="0" applyFont="1" applyFill="1" applyBorder="1" applyProtection="1">
      <protection locked="0"/>
    </xf>
    <xf numFmtId="0" fontId="42" fillId="0" borderId="0" xfId="0" applyFont="1"/>
    <xf numFmtId="0" fontId="4" fillId="13" borderId="0" xfId="35" applyFont="1" applyFill="1"/>
    <xf numFmtId="0" fontId="2" fillId="0" borderId="0" xfId="35"/>
    <xf numFmtId="0" fontId="4" fillId="13" borderId="0" xfId="35" applyFont="1" applyFill="1" applyAlignment="1">
      <alignment vertical="center"/>
    </xf>
    <xf numFmtId="37" fontId="4" fillId="13" borderId="0" xfId="35" applyNumberFormat="1" applyFont="1" applyFill="1" applyAlignment="1">
      <alignment vertical="center"/>
    </xf>
    <xf numFmtId="0" fontId="4" fillId="13" borderId="2" xfId="35" applyFont="1" applyFill="1" applyBorder="1" applyAlignment="1">
      <alignment vertical="center"/>
    </xf>
    <xf numFmtId="0" fontId="4" fillId="13" borderId="0" xfId="35" applyFont="1" applyFill="1" applyAlignment="1">
      <alignment horizontal="center" vertical="center"/>
    </xf>
    <xf numFmtId="0" fontId="5" fillId="13" borderId="0" xfId="35" applyFont="1" applyFill="1" applyAlignment="1">
      <alignment horizontal="center" vertical="center"/>
    </xf>
    <xf numFmtId="172" fontId="4" fillId="13" borderId="0" xfId="35" applyNumberFormat="1" applyFont="1" applyFill="1" applyAlignment="1">
      <alignment vertical="center"/>
    </xf>
    <xf numFmtId="172" fontId="4" fillId="13" borderId="10" xfId="35" applyNumberFormat="1" applyFont="1" applyFill="1" applyBorder="1" applyAlignment="1">
      <alignment vertical="center"/>
    </xf>
    <xf numFmtId="0" fontId="43" fillId="16" borderId="0" xfId="35" applyFont="1" applyFill="1" applyAlignment="1">
      <alignment vertical="center"/>
    </xf>
    <xf numFmtId="0" fontId="43" fillId="13" borderId="0" xfId="35" applyFont="1" applyFill="1" applyAlignment="1">
      <alignment horizontal="center" vertical="center"/>
    </xf>
    <xf numFmtId="171" fontId="4" fillId="13" borderId="0" xfId="35" applyNumberFormat="1" applyFont="1" applyFill="1" applyAlignment="1">
      <alignment horizontal="center" vertical="center"/>
    </xf>
    <xf numFmtId="176" fontId="43" fillId="13" borderId="0" xfId="35" applyNumberFormat="1" applyFont="1" applyFill="1" applyAlignment="1">
      <alignment horizontal="center" vertical="center"/>
    </xf>
    <xf numFmtId="0" fontId="43" fillId="16" borderId="0" xfId="35" applyFont="1" applyFill="1" applyAlignment="1">
      <alignment horizontal="center" vertical="center"/>
    </xf>
    <xf numFmtId="0" fontId="45" fillId="16" borderId="0" xfId="35" applyFont="1" applyFill="1" applyAlignment="1">
      <alignment horizontal="center" vertical="center"/>
    </xf>
    <xf numFmtId="0" fontId="4" fillId="13" borderId="0" xfId="35" applyFont="1" applyFill="1" applyAlignment="1">
      <alignment horizontal="right" vertical="center"/>
    </xf>
    <xf numFmtId="0" fontId="4" fillId="13" borderId="0" xfId="35" applyFont="1" applyFill="1" applyAlignment="1">
      <alignment horizontal="left" vertical="center"/>
    </xf>
    <xf numFmtId="0" fontId="4" fillId="13" borderId="0" xfId="29" applyFont="1" applyFill="1"/>
    <xf numFmtId="0" fontId="2" fillId="13" borderId="0" xfId="35" applyFill="1"/>
    <xf numFmtId="0" fontId="3" fillId="13" borderId="0" xfId="29" applyFont="1" applyFill="1"/>
    <xf numFmtId="0" fontId="2" fillId="13" borderId="0" xfId="29" applyFill="1"/>
    <xf numFmtId="0" fontId="9" fillId="0" borderId="0" xfId="13" applyAlignment="1" applyProtection="1"/>
    <xf numFmtId="172" fontId="33" fillId="13" borderId="16" xfId="0" applyNumberFormat="1" applyFont="1" applyFill="1" applyBorder="1" applyAlignment="1">
      <alignment vertical="center"/>
    </xf>
    <xf numFmtId="172" fontId="33" fillId="16" borderId="15" xfId="0" applyNumberFormat="1" applyFont="1" applyFill="1" applyBorder="1" applyAlignment="1">
      <alignment horizontal="center" vertical="center"/>
    </xf>
    <xf numFmtId="0" fontId="33" fillId="16" borderId="2" xfId="0" applyFont="1" applyFill="1" applyBorder="1" applyAlignment="1">
      <alignment vertical="center"/>
    </xf>
    <xf numFmtId="0" fontId="33" fillId="16" borderId="7" xfId="0" applyFont="1" applyFill="1" applyBorder="1" applyAlignment="1">
      <alignment vertical="center"/>
    </xf>
    <xf numFmtId="37" fontId="4" fillId="3" borderId="0" xfId="0" applyNumberFormat="1" applyFont="1" applyFill="1" applyAlignment="1">
      <alignment horizontal="center" vertical="center"/>
    </xf>
    <xf numFmtId="37" fontId="4" fillId="3" borderId="0" xfId="0" applyNumberFormat="1" applyFont="1" applyFill="1" applyAlignment="1" applyProtection="1">
      <alignment horizontal="fill" vertical="center"/>
      <protection locked="0"/>
    </xf>
    <xf numFmtId="0" fontId="3" fillId="3" borderId="0" xfId="0" applyFont="1" applyFill="1" applyAlignment="1">
      <alignment horizontal="right"/>
    </xf>
    <xf numFmtId="6" fontId="4" fillId="13" borderId="0" xfId="35" applyNumberFormat="1" applyFont="1" applyFill="1" applyAlignment="1">
      <alignment horizontal="center" vertical="center"/>
    </xf>
    <xf numFmtId="1" fontId="4" fillId="3" borderId="14" xfId="0" applyNumberFormat="1" applyFont="1" applyFill="1" applyBorder="1" applyAlignment="1">
      <alignment horizontal="center" vertical="center"/>
    </xf>
    <xf numFmtId="37" fontId="4" fillId="3" borderId="14" xfId="0" applyNumberFormat="1" applyFont="1" applyFill="1" applyBorder="1" applyAlignment="1">
      <alignment horizontal="center" vertical="center"/>
    </xf>
    <xf numFmtId="0" fontId="4" fillId="3" borderId="12" xfId="0" applyFont="1" applyFill="1" applyBorder="1" applyAlignment="1">
      <alignment horizontal="left" vertical="center"/>
    </xf>
    <xf numFmtId="37" fontId="6" fillId="3" borderId="13" xfId="0" applyNumberFormat="1" applyFont="1" applyFill="1" applyBorder="1" applyAlignment="1">
      <alignment horizontal="center" vertical="center"/>
    </xf>
    <xf numFmtId="3" fontId="4" fillId="3" borderId="1" xfId="0" applyNumberFormat="1" applyFont="1" applyFill="1" applyBorder="1" applyAlignment="1">
      <alignment horizontal="right" vertical="center"/>
    </xf>
    <xf numFmtId="174" fontId="4" fillId="3" borderId="1" xfId="0" applyNumberFormat="1" applyFont="1" applyFill="1" applyBorder="1" applyAlignment="1">
      <alignment horizontal="right" vertical="center"/>
    </xf>
    <xf numFmtId="170" fontId="4" fillId="3"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175" fontId="4" fillId="3" borderId="0" xfId="494" applyNumberFormat="1" applyFont="1" applyFill="1" applyAlignment="1">
      <alignment horizontal="center" vertical="center"/>
    </xf>
    <xf numFmtId="0" fontId="36" fillId="0" borderId="0" xfId="0" applyFont="1" applyAlignment="1">
      <alignment vertical="center"/>
    </xf>
    <xf numFmtId="0" fontId="9" fillId="17" borderId="0" xfId="13" applyFill="1" applyAlignment="1" applyProtection="1"/>
    <xf numFmtId="0" fontId="39" fillId="17" borderId="0" xfId="378" applyFill="1"/>
    <xf numFmtId="3" fontId="4" fillId="13" borderId="1" xfId="0" applyNumberFormat="1" applyFont="1" applyFill="1" applyBorder="1" applyAlignment="1">
      <alignment vertical="center"/>
    </xf>
    <xf numFmtId="3" fontId="4" fillId="3" borderId="0" xfId="51" applyNumberFormat="1" applyFont="1" applyFill="1" applyAlignment="1">
      <alignment horizontal="right" vertical="center"/>
    </xf>
    <xf numFmtId="3" fontId="4" fillId="3" borderId="1" xfId="51" applyNumberFormat="1" applyFont="1" applyFill="1" applyBorder="1" applyAlignment="1">
      <alignment horizontal="right" vertical="center"/>
    </xf>
    <xf numFmtId="0" fontId="4" fillId="3" borderId="0" xfId="51" applyFont="1" applyFill="1" applyAlignment="1">
      <alignment horizontal="left" vertical="center"/>
    </xf>
    <xf numFmtId="3" fontId="4" fillId="4" borderId="3" xfId="0" applyNumberFormat="1" applyFont="1" applyFill="1" applyBorder="1" applyAlignment="1">
      <alignment vertical="center"/>
    </xf>
    <xf numFmtId="37" fontId="12" fillId="3" borderId="10" xfId="0" applyNumberFormat="1" applyFont="1" applyFill="1" applyBorder="1" applyAlignment="1">
      <alignment horizontal="center" vertical="center"/>
    </xf>
    <xf numFmtId="0" fontId="4" fillId="0" borderId="0" xfId="0" applyFont="1" applyAlignment="1">
      <alignment vertical="top" wrapText="1"/>
    </xf>
    <xf numFmtId="170" fontId="4" fillId="6" borderId="1" xfId="0" applyNumberFormat="1" applyFont="1" applyFill="1" applyBorder="1" applyAlignment="1" applyProtection="1">
      <alignment vertical="center"/>
      <protection locked="0"/>
    </xf>
    <xf numFmtId="170" fontId="4" fillId="6" borderId="3" xfId="0" applyNumberFormat="1" applyFont="1" applyFill="1" applyBorder="1" applyAlignment="1" applyProtection="1">
      <alignment vertical="center"/>
      <protection locked="0"/>
    </xf>
    <xf numFmtId="37" fontId="4" fillId="6" borderId="0" xfId="51" applyNumberFormat="1" applyFont="1" applyFill="1" applyAlignment="1" applyProtection="1">
      <alignment horizontal="center" vertical="center"/>
      <protection locked="0"/>
    </xf>
    <xf numFmtId="0" fontId="4" fillId="6" borderId="0" xfId="0" applyFont="1" applyFill="1" applyAlignment="1" applyProtection="1">
      <alignment horizontal="center" vertical="center"/>
      <protection locked="0"/>
    </xf>
    <xf numFmtId="37" fontId="3" fillId="3" borderId="0" xfId="29" applyNumberFormat="1" applyFont="1" applyFill="1" applyAlignment="1">
      <alignment horizontal="left" vertical="center"/>
    </xf>
    <xf numFmtId="37" fontId="4" fillId="3" borderId="0" xfId="29" applyNumberFormat="1" applyFont="1" applyFill="1" applyAlignment="1">
      <alignment horizontal="left" vertical="center"/>
    </xf>
    <xf numFmtId="0" fontId="4" fillId="13" borderId="0" xfId="29" applyFont="1" applyFill="1" applyAlignment="1">
      <alignment vertical="center"/>
    </xf>
    <xf numFmtId="0" fontId="3" fillId="8" borderId="14" xfId="0" applyFont="1" applyFill="1" applyBorder="1" applyAlignment="1">
      <alignment vertical="center"/>
    </xf>
    <xf numFmtId="0" fontId="4" fillId="8" borderId="13" xfId="0" applyFont="1" applyFill="1" applyBorder="1" applyAlignment="1">
      <alignment vertical="center"/>
    </xf>
    <xf numFmtId="37" fontId="3" fillId="11" borderId="16" xfId="0" applyNumberFormat="1" applyFont="1" applyFill="1" applyBorder="1" applyAlignment="1">
      <alignment horizontal="left" vertical="center"/>
    </xf>
    <xf numFmtId="0" fontId="4" fillId="11" borderId="12" xfId="0" applyFont="1" applyFill="1" applyBorder="1" applyAlignment="1">
      <alignment vertical="center"/>
    </xf>
    <xf numFmtId="37" fontId="3" fillId="11" borderId="15" xfId="0" applyNumberFormat="1" applyFont="1" applyFill="1" applyBorder="1" applyAlignment="1">
      <alignment horizontal="left" vertical="center"/>
    </xf>
    <xf numFmtId="0" fontId="4" fillId="11" borderId="7" xfId="0" applyFont="1" applyFill="1" applyBorder="1" applyAlignment="1">
      <alignment vertical="center"/>
    </xf>
    <xf numFmtId="37" fontId="4" fillId="3" borderId="5" xfId="0" applyNumberFormat="1" applyFont="1" applyFill="1" applyBorder="1" applyAlignment="1">
      <alignment vertical="center"/>
    </xf>
    <xf numFmtId="37" fontId="3" fillId="11" borderId="11" xfId="0" applyNumberFormat="1" applyFont="1" applyFill="1" applyBorder="1" applyAlignment="1">
      <alignment horizontal="left" vertical="center"/>
    </xf>
    <xf numFmtId="0" fontId="4" fillId="11" borderId="9" xfId="0" applyFont="1" applyFill="1" applyBorder="1" applyAlignment="1">
      <alignment vertical="center"/>
    </xf>
    <xf numFmtId="37" fontId="4" fillId="8" borderId="3" xfId="0" applyNumberFormat="1" applyFont="1" applyFill="1" applyBorder="1" applyAlignment="1">
      <alignment horizontal="center" vertical="center"/>
    </xf>
    <xf numFmtId="0" fontId="4" fillId="8" borderId="5" xfId="0" applyFont="1" applyFill="1" applyBorder="1" applyAlignment="1">
      <alignment horizontal="center" vertical="center"/>
    </xf>
    <xf numFmtId="164" fontId="4" fillId="2" borderId="5" xfId="0" applyNumberFormat="1" applyFont="1" applyFill="1" applyBorder="1" applyAlignment="1" applyProtection="1">
      <alignment vertical="center"/>
      <protection locked="0"/>
    </xf>
    <xf numFmtId="164" fontId="4" fillId="3" borderId="8" xfId="0" applyNumberFormat="1" applyFont="1" applyFill="1" applyBorder="1" applyAlignment="1" applyProtection="1">
      <alignment vertical="center"/>
      <protection locked="0"/>
    </xf>
    <xf numFmtId="37" fontId="4" fillId="7" borderId="11" xfId="0" applyNumberFormat="1" applyFont="1" applyFill="1" applyBorder="1" applyAlignment="1">
      <alignment horizontal="left" vertical="center"/>
    </xf>
    <xf numFmtId="0" fontId="4" fillId="7" borderId="9" xfId="0" applyFont="1" applyFill="1" applyBorder="1" applyAlignment="1">
      <alignment vertical="center"/>
    </xf>
    <xf numFmtId="37" fontId="11" fillId="8" borderId="14" xfId="0" applyNumberFormat="1" applyFont="1" applyFill="1" applyBorder="1" applyAlignment="1">
      <alignment horizontal="left" vertical="center"/>
    </xf>
    <xf numFmtId="0" fontId="5" fillId="7" borderId="13" xfId="0" applyFont="1" applyFill="1" applyBorder="1" applyAlignment="1">
      <alignment vertical="center"/>
    </xf>
    <xf numFmtId="0" fontId="4" fillId="8" borderId="16" xfId="0" applyFont="1" applyFill="1" applyBorder="1" applyAlignment="1">
      <alignment vertical="center"/>
    </xf>
    <xf numFmtId="0" fontId="4" fillId="8" borderId="12" xfId="0" applyFont="1" applyFill="1" applyBorder="1" applyAlignment="1">
      <alignment vertical="center"/>
    </xf>
    <xf numFmtId="0" fontId="4" fillId="8" borderId="15" xfId="0" applyFont="1" applyFill="1" applyBorder="1" applyAlignment="1">
      <alignment vertical="center"/>
    </xf>
    <xf numFmtId="0" fontId="4" fillId="8" borderId="7" xfId="0" applyFont="1" applyFill="1" applyBorder="1" applyAlignment="1">
      <alignment vertical="center"/>
    </xf>
    <xf numFmtId="0" fontId="4" fillId="8" borderId="11" xfId="0" applyFont="1" applyFill="1" applyBorder="1" applyAlignment="1">
      <alignment vertical="center"/>
    </xf>
    <xf numFmtId="0" fontId="4" fillId="8" borderId="9" xfId="0" applyFont="1" applyFill="1" applyBorder="1" applyAlignment="1">
      <alignment vertical="center"/>
    </xf>
    <xf numFmtId="37" fontId="3" fillId="8" borderId="11" xfId="0" applyNumberFormat="1" applyFont="1" applyFill="1" applyBorder="1" applyAlignment="1">
      <alignment horizontal="left" vertical="center"/>
    </xf>
    <xf numFmtId="3" fontId="4" fillId="8" borderId="9" xfId="0" applyNumberFormat="1" applyFont="1" applyFill="1" applyBorder="1" applyAlignment="1">
      <alignment vertical="center"/>
    </xf>
    <xf numFmtId="3" fontId="4" fillId="6" borderId="5" xfId="0" applyNumberFormat="1" applyFont="1" applyFill="1" applyBorder="1" applyAlignment="1" applyProtection="1">
      <alignment vertical="center"/>
      <protection locked="0"/>
    </xf>
    <xf numFmtId="0" fontId="3" fillId="8" borderId="11" xfId="0" applyFont="1" applyFill="1" applyBorder="1" applyAlignment="1">
      <alignment vertical="center"/>
    </xf>
    <xf numFmtId="0" fontId="1" fillId="8" borderId="8" xfId="0" applyFont="1" applyFill="1" applyBorder="1" applyAlignment="1">
      <alignment vertical="center"/>
    </xf>
    <xf numFmtId="0" fontId="0" fillId="8" borderId="8" xfId="0" applyFill="1" applyBorder="1" applyAlignment="1" applyProtection="1">
      <alignment vertical="center"/>
      <protection locked="0"/>
    </xf>
    <xf numFmtId="0" fontId="0" fillId="8" borderId="9" xfId="0" applyFill="1" applyBorder="1" applyAlignment="1" applyProtection="1">
      <alignment vertical="center"/>
      <protection locked="0"/>
    </xf>
    <xf numFmtId="175" fontId="4" fillId="2" borderId="5" xfId="0" applyNumberFormat="1" applyFont="1" applyFill="1" applyBorder="1" applyAlignment="1" applyProtection="1">
      <alignment vertical="center"/>
      <protection locked="0"/>
    </xf>
    <xf numFmtId="173" fontId="4" fillId="16" borderId="7" xfId="51" applyNumberFormat="1" applyFont="1" applyFill="1" applyBorder="1" applyAlignment="1">
      <alignment horizontal="center"/>
    </xf>
    <xf numFmtId="165" fontId="4" fillId="4" borderId="0" xfId="0" applyNumberFormat="1" applyFont="1" applyFill="1" applyAlignment="1">
      <alignment vertical="center"/>
    </xf>
    <xf numFmtId="3" fontId="4" fillId="2" borderId="1" xfId="29" applyNumberFormat="1" applyFont="1" applyFill="1" applyBorder="1" applyAlignment="1" applyProtection="1">
      <alignment vertical="center"/>
      <protection locked="0"/>
    </xf>
    <xf numFmtId="170" fontId="4" fillId="3" borderId="0" xfId="29" applyNumberFormat="1" applyFont="1" applyFill="1" applyAlignment="1">
      <alignment vertical="center"/>
    </xf>
    <xf numFmtId="37" fontId="4" fillId="3" borderId="8" xfId="29" applyNumberFormat="1" applyFont="1" applyFill="1" applyBorder="1" applyAlignment="1">
      <alignment horizontal="left" vertical="center"/>
    </xf>
    <xf numFmtId="37" fontId="4" fillId="3" borderId="5" xfId="29" applyNumberFormat="1" applyFont="1" applyFill="1" applyBorder="1" applyAlignment="1">
      <alignment horizontal="center" vertical="center"/>
    </xf>
    <xf numFmtId="37" fontId="4" fillId="3" borderId="10" xfId="29" applyNumberFormat="1" applyFont="1" applyFill="1" applyBorder="1" applyAlignment="1">
      <alignment horizontal="center" vertical="center"/>
    </xf>
    <xf numFmtId="165" fontId="4" fillId="13" borderId="0" xfId="29" applyNumberFormat="1" applyFont="1" applyFill="1" applyAlignment="1">
      <alignment vertical="center"/>
    </xf>
    <xf numFmtId="0" fontId="4" fillId="13" borderId="0" xfId="29" applyFont="1" applyFill="1" applyAlignment="1" applyProtection="1">
      <alignment vertical="center"/>
      <protection locked="0"/>
    </xf>
    <xf numFmtId="0" fontId="4" fillId="3" borderId="11" xfId="29" applyFont="1" applyFill="1" applyBorder="1" applyAlignment="1">
      <alignment horizontal="left" vertical="center"/>
    </xf>
    <xf numFmtId="0" fontId="4" fillId="2" borderId="1" xfId="29" applyFont="1" applyFill="1" applyBorder="1" applyAlignment="1" applyProtection="1">
      <alignment vertical="center"/>
      <protection locked="0"/>
    </xf>
    <xf numFmtId="0" fontId="4" fillId="6" borderId="1" xfId="29" applyFont="1" applyFill="1" applyBorder="1" applyAlignment="1" applyProtection="1">
      <alignment vertical="center"/>
      <protection locked="0"/>
    </xf>
    <xf numFmtId="0" fontId="4" fillId="3" borderId="13" xfId="0" applyFont="1" applyFill="1" applyBorder="1" applyAlignment="1">
      <alignment vertical="center"/>
    </xf>
    <xf numFmtId="37" fontId="4" fillId="3" borderId="16" xfId="0" applyNumberFormat="1" applyFont="1" applyFill="1" applyBorder="1" applyAlignment="1" applyProtection="1">
      <alignment vertical="center"/>
      <protection locked="0"/>
    </xf>
    <xf numFmtId="37" fontId="4" fillId="3" borderId="15" xfId="0" applyNumberFormat="1" applyFont="1" applyFill="1" applyBorder="1" applyAlignment="1" applyProtection="1">
      <alignment vertical="center"/>
      <protection locked="0"/>
    </xf>
    <xf numFmtId="0" fontId="4" fillId="3" borderId="15" xfId="0" applyFont="1" applyFill="1" applyBorder="1" applyAlignment="1">
      <alignment vertical="center"/>
    </xf>
    <xf numFmtId="0" fontId="4" fillId="3" borderId="10" xfId="13" applyNumberFormat="1" applyFont="1" applyFill="1" applyBorder="1" applyAlignment="1" applyProtection="1">
      <alignment horizontal="right" vertical="center"/>
    </xf>
    <xf numFmtId="0" fontId="4" fillId="3" borderId="10" xfId="51" applyFont="1" applyFill="1" applyBorder="1" applyAlignment="1">
      <alignment vertical="center"/>
    </xf>
    <xf numFmtId="0" fontId="4" fillId="3" borderId="13" xfId="13" applyNumberFormat="1" applyFont="1" applyFill="1" applyBorder="1" applyAlignment="1" applyProtection="1">
      <alignment horizontal="right" vertical="center"/>
    </xf>
    <xf numFmtId="0" fontId="4" fillId="3" borderId="12" xfId="13" applyNumberFormat="1" applyFont="1" applyFill="1" applyBorder="1" applyAlignment="1" applyProtection="1">
      <alignment horizontal="right" vertical="center"/>
    </xf>
    <xf numFmtId="0" fontId="4" fillId="3" borderId="15" xfId="51" applyFont="1" applyFill="1" applyBorder="1" applyAlignment="1">
      <alignment vertical="center"/>
    </xf>
    <xf numFmtId="0" fontId="4" fillId="3" borderId="2" xfId="13" applyNumberFormat="1" applyFont="1" applyFill="1" applyBorder="1" applyAlignment="1" applyProtection="1">
      <alignment horizontal="right" vertical="center"/>
    </xf>
    <xf numFmtId="0" fontId="4" fillId="3" borderId="2" xfId="51" applyFont="1" applyFill="1" applyBorder="1" applyAlignment="1">
      <alignment vertical="center"/>
    </xf>
    <xf numFmtId="0" fontId="4" fillId="3" borderId="7" xfId="13" applyNumberFormat="1" applyFont="1" applyFill="1" applyBorder="1" applyAlignment="1" applyProtection="1">
      <alignment horizontal="right" vertical="center"/>
    </xf>
    <xf numFmtId="0" fontId="4" fillId="3" borderId="10" xfId="0" applyFont="1" applyFill="1" applyBorder="1" applyAlignment="1">
      <alignment horizontal="right" vertical="center"/>
    </xf>
    <xf numFmtId="0" fontId="4" fillId="3" borderId="13" xfId="0" applyFont="1" applyFill="1" applyBorder="1" applyAlignment="1">
      <alignment horizontal="right" vertical="center"/>
    </xf>
    <xf numFmtId="0" fontId="4" fillId="3" borderId="12" xfId="0" applyFont="1" applyFill="1" applyBorder="1" applyAlignment="1">
      <alignment horizontal="right" vertical="center"/>
    </xf>
    <xf numFmtId="0" fontId="4" fillId="3" borderId="2" xfId="0" applyFont="1" applyFill="1" applyBorder="1" applyAlignment="1">
      <alignment horizontal="right" vertical="center"/>
    </xf>
    <xf numFmtId="0" fontId="4" fillId="3" borderId="7" xfId="0" applyFont="1" applyFill="1" applyBorder="1" applyAlignment="1">
      <alignment horizontal="right" vertical="center"/>
    </xf>
    <xf numFmtId="0" fontId="12" fillId="3" borderId="10"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5" xfId="0" applyFont="1" applyFill="1" applyBorder="1" applyAlignment="1">
      <alignment horizontal="right" vertical="center"/>
    </xf>
    <xf numFmtId="0" fontId="12" fillId="3" borderId="2" xfId="0" applyFont="1" applyFill="1" applyBorder="1" applyAlignment="1">
      <alignment horizontal="center" vertical="center"/>
    </xf>
    <xf numFmtId="0" fontId="0" fillId="3" borderId="13" xfId="0" applyFill="1" applyBorder="1" applyAlignment="1">
      <alignment vertical="center"/>
    </xf>
    <xf numFmtId="0" fontId="0" fillId="3" borderId="12" xfId="0" applyFill="1" applyBorder="1" applyAlignment="1">
      <alignment vertical="center"/>
    </xf>
    <xf numFmtId="0" fontId="4" fillId="3" borderId="16" xfId="0" applyFont="1" applyFill="1" applyBorder="1" applyAlignment="1">
      <alignment vertical="center"/>
    </xf>
    <xf numFmtId="0" fontId="4" fillId="3" borderId="12" xfId="0" applyFont="1" applyFill="1" applyBorder="1" applyAlignment="1">
      <alignment vertical="center"/>
    </xf>
    <xf numFmtId="37" fontId="3" fillId="3" borderId="14" xfId="0" applyNumberFormat="1" applyFont="1" applyFill="1" applyBorder="1" applyAlignment="1" applyProtection="1">
      <alignment vertical="center"/>
      <protection locked="0"/>
    </xf>
    <xf numFmtId="0" fontId="3" fillId="3" borderId="14" xfId="0" applyFont="1" applyFill="1" applyBorder="1" applyAlignment="1">
      <alignment vertical="center"/>
    </xf>
    <xf numFmtId="0" fontId="3" fillId="3" borderId="14" xfId="51" applyFont="1" applyFill="1" applyBorder="1" applyAlignment="1">
      <alignment vertical="center"/>
    </xf>
    <xf numFmtId="0" fontId="3" fillId="3" borderId="14" xfId="0" applyFont="1" applyFill="1" applyBorder="1" applyAlignment="1">
      <alignment horizontal="left" vertical="center"/>
    </xf>
    <xf numFmtId="0" fontId="3" fillId="0" borderId="0" xfId="0" applyFont="1" applyAlignment="1" applyProtection="1">
      <alignment vertical="center"/>
      <protection locked="0"/>
    </xf>
    <xf numFmtId="37" fontId="4" fillId="3" borderId="2" xfId="0" applyNumberFormat="1" applyFont="1" applyFill="1" applyBorder="1" applyAlignment="1" applyProtection="1">
      <alignment vertical="center"/>
      <protection locked="0"/>
    </xf>
    <xf numFmtId="0" fontId="4" fillId="6" borderId="2" xfId="0" applyFont="1" applyFill="1" applyBorder="1" applyAlignment="1" applyProtection="1">
      <alignment vertical="center"/>
      <protection locked="0"/>
    </xf>
    <xf numFmtId="0" fontId="4" fillId="6" borderId="8" xfId="0" applyFont="1" applyFill="1" applyBorder="1" applyAlignment="1" applyProtection="1">
      <alignment vertical="center"/>
      <protection locked="0"/>
    </xf>
    <xf numFmtId="37" fontId="18" fillId="3" borderId="0" xfId="0" applyNumberFormat="1" applyFont="1" applyFill="1" applyAlignment="1">
      <alignment horizontal="left" vertical="center"/>
    </xf>
    <xf numFmtId="0" fontId="20" fillId="0" borderId="0" xfId="0" applyFont="1" applyAlignment="1">
      <alignment horizontal="center" vertical="center" wrapText="1"/>
    </xf>
    <xf numFmtId="0" fontId="31" fillId="0" borderId="0" xfId="0" applyFont="1" applyAlignment="1">
      <alignment horizontal="center" vertical="center" wrapText="1"/>
    </xf>
    <xf numFmtId="0" fontId="44" fillId="0" borderId="0" xfId="0" applyFont="1" applyAlignment="1">
      <alignment vertical="center" wrapText="1"/>
    </xf>
    <xf numFmtId="0" fontId="47"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indent="2"/>
    </xf>
    <xf numFmtId="0" fontId="4" fillId="0" borderId="0" xfId="0" applyFont="1" applyAlignment="1">
      <alignment horizontal="left" vertical="center" wrapText="1"/>
    </xf>
    <xf numFmtId="0" fontId="4" fillId="0" borderId="0" xfId="0" applyFont="1" applyAlignment="1">
      <alignment horizontal="left" vertical="center" indent="2"/>
    </xf>
    <xf numFmtId="0" fontId="48" fillId="0" borderId="0" xfId="0" applyFont="1" applyAlignment="1">
      <alignment horizontal="left" vertical="center" wrapText="1" indent="4"/>
    </xf>
    <xf numFmtId="0" fontId="11" fillId="0" borderId="0" xfId="0" applyFont="1" applyAlignment="1">
      <alignment vertical="center" wrapText="1"/>
    </xf>
    <xf numFmtId="0" fontId="11" fillId="0" borderId="0" xfId="0" applyFont="1" applyAlignment="1">
      <alignment horizontal="center"/>
    </xf>
    <xf numFmtId="0" fontId="4" fillId="0" borderId="0" xfId="0" quotePrefix="1" applyFont="1"/>
    <xf numFmtId="0" fontId="3" fillId="0" borderId="0" xfId="0" applyFont="1"/>
    <xf numFmtId="0" fontId="5" fillId="0" borderId="0" xfId="0" applyFont="1" applyAlignment="1">
      <alignment vertical="center" wrapText="1"/>
    </xf>
    <xf numFmtId="171" fontId="4" fillId="6" borderId="1" xfId="0" applyNumberFormat="1" applyFont="1" applyFill="1" applyBorder="1" applyAlignment="1" applyProtection="1">
      <alignment vertical="center"/>
      <protection locked="0"/>
    </xf>
    <xf numFmtId="0" fontId="50" fillId="15" borderId="0" xfId="474" applyFont="1" applyFill="1" applyAlignment="1">
      <alignment wrapText="1"/>
    </xf>
    <xf numFmtId="0" fontId="4" fillId="0" borderId="0" xfId="0" applyFont="1" applyAlignment="1">
      <alignment horizontal="right"/>
    </xf>
    <xf numFmtId="49" fontId="4" fillId="0" borderId="0" xfId="474" applyNumberFormat="1" applyFont="1" applyAlignment="1" applyProtection="1">
      <alignment horizontal="left" vertical="center"/>
      <protection locked="0"/>
    </xf>
    <xf numFmtId="0" fontId="0" fillId="0" borderId="0" xfId="0" applyAlignment="1">
      <alignment horizontal="left"/>
    </xf>
    <xf numFmtId="0" fontId="27" fillId="0" borderId="0" xfId="474" applyAlignment="1">
      <alignment horizontal="right"/>
    </xf>
    <xf numFmtId="0" fontId="27" fillId="0" borderId="0" xfId="474" applyAlignment="1">
      <alignment horizontal="left"/>
    </xf>
    <xf numFmtId="0" fontId="4" fillId="0" borderId="0" xfId="474" applyFont="1" applyAlignment="1">
      <alignment horizontal="right" vertical="center"/>
    </xf>
    <xf numFmtId="0" fontId="18" fillId="0" borderId="0" xfId="474" applyFont="1" applyAlignment="1">
      <alignment horizontal="left" vertical="center"/>
    </xf>
    <xf numFmtId="3" fontId="4" fillId="3" borderId="14" xfId="0" applyNumberFormat="1" applyFont="1" applyFill="1" applyBorder="1" applyAlignment="1">
      <alignment horizontal="right" vertical="center"/>
    </xf>
    <xf numFmtId="3" fontId="4" fillId="3" borderId="13" xfId="0" applyNumberFormat="1" applyFont="1" applyFill="1" applyBorder="1" applyAlignment="1">
      <alignment horizontal="right" vertical="center"/>
    </xf>
    <xf numFmtId="3" fontId="4" fillId="3" borderId="0" xfId="0" applyNumberFormat="1" applyFont="1" applyFill="1" applyAlignment="1">
      <alignment horizontal="right" vertical="center"/>
    </xf>
    <xf numFmtId="0" fontId="4" fillId="3" borderId="5" xfId="0" quotePrefix="1" applyFont="1" applyFill="1" applyBorder="1" applyAlignment="1">
      <alignment horizontal="center"/>
    </xf>
    <xf numFmtId="0" fontId="4" fillId="0" borderId="2" xfId="0" applyFont="1" applyBorder="1"/>
    <xf numFmtId="171" fontId="18" fillId="3" borderId="5" xfId="0" applyNumberFormat="1" applyFont="1" applyFill="1" applyBorder="1" applyAlignment="1">
      <alignment horizontal="center" vertical="center"/>
    </xf>
    <xf numFmtId="37" fontId="4" fillId="3" borderId="6" xfId="0" applyNumberFormat="1" applyFont="1" applyFill="1" applyBorder="1" applyAlignment="1">
      <alignment horizontal="left" vertical="center"/>
    </xf>
    <xf numFmtId="3" fontId="4" fillId="3" borderId="18" xfId="0" applyNumberFormat="1" applyFont="1" applyFill="1" applyBorder="1" applyAlignment="1">
      <alignment horizontal="center" vertical="center"/>
    </xf>
    <xf numFmtId="171" fontId="4" fillId="3" borderId="18" xfId="0" applyNumberFormat="1" applyFont="1" applyFill="1" applyBorder="1" applyAlignment="1">
      <alignment horizontal="center" vertical="center"/>
    </xf>
    <xf numFmtId="171" fontId="33" fillId="16" borderId="15" xfId="0" applyNumberFormat="1" applyFont="1" applyFill="1" applyBorder="1" applyAlignment="1">
      <alignment horizontal="center" vertical="center"/>
    </xf>
    <xf numFmtId="0" fontId="34" fillId="13" borderId="0" xfId="0" applyFont="1" applyFill="1" applyAlignment="1">
      <alignment horizontal="center" vertical="center"/>
    </xf>
    <xf numFmtId="0" fontId="0" fillId="13" borderId="12" xfId="0" applyFill="1" applyBorder="1" applyAlignment="1">
      <alignment vertical="center"/>
    </xf>
    <xf numFmtId="171" fontId="33" fillId="13" borderId="15" xfId="0" applyNumberFormat="1" applyFont="1" applyFill="1" applyBorder="1" applyAlignment="1">
      <alignment horizontal="center" vertical="center"/>
    </xf>
    <xf numFmtId="171" fontId="35" fillId="13" borderId="15" xfId="0" applyNumberFormat="1" applyFont="1" applyFill="1" applyBorder="1" applyAlignment="1">
      <alignment horizontal="center" vertical="center"/>
    </xf>
    <xf numFmtId="0" fontId="35" fillId="13" borderId="0" xfId="0" applyFont="1" applyFill="1" applyAlignment="1">
      <alignment horizontal="left" vertical="center"/>
    </xf>
    <xf numFmtId="171" fontId="33" fillId="13" borderId="11" xfId="0" applyNumberFormat="1" applyFont="1" applyFill="1" applyBorder="1" applyAlignment="1">
      <alignment horizontal="center" vertical="center"/>
    </xf>
    <xf numFmtId="37" fontId="4" fillId="3" borderId="12" xfId="0" applyNumberFormat="1" applyFont="1" applyFill="1" applyBorder="1" applyAlignment="1">
      <alignment horizontal="right" vertical="center"/>
    </xf>
    <xf numFmtId="37" fontId="4" fillId="16" borderId="7" xfId="0" applyNumberFormat="1" applyFont="1" applyFill="1" applyBorder="1" applyAlignment="1">
      <alignment horizontal="right" vertical="center"/>
    </xf>
    <xf numFmtId="170" fontId="4" fillId="3" borderId="1" xfId="0" applyNumberFormat="1" applyFont="1" applyFill="1" applyBorder="1" applyAlignment="1">
      <alignment horizontal="centerContinuous" vertical="center"/>
    </xf>
    <xf numFmtId="170" fontId="4" fillId="3" borderId="1" xfId="0" applyNumberFormat="1" applyFont="1" applyFill="1" applyBorder="1" applyAlignment="1">
      <alignment horizontal="center" vertical="center"/>
    </xf>
    <xf numFmtId="49" fontId="4" fillId="3" borderId="0" xfId="0" applyNumberFormat="1" applyFont="1" applyFill="1" applyAlignment="1" applyProtection="1">
      <alignment horizontal="left" vertical="center"/>
      <protection locked="0"/>
    </xf>
    <xf numFmtId="3" fontId="3" fillId="3" borderId="11" xfId="0" applyNumberFormat="1" applyFont="1" applyFill="1" applyBorder="1" applyAlignment="1">
      <alignment vertical="center"/>
    </xf>
    <xf numFmtId="3" fontId="3" fillId="3" borderId="1" xfId="0" applyNumberFormat="1" applyFont="1" applyFill="1" applyBorder="1" applyAlignment="1">
      <alignment horizontal="right" vertical="center"/>
    </xf>
    <xf numFmtId="3" fontId="3" fillId="3" borderId="1" xfId="0" applyNumberFormat="1" applyFont="1" applyFill="1" applyBorder="1" applyAlignment="1">
      <alignment vertical="center"/>
    </xf>
    <xf numFmtId="3" fontId="3" fillId="3" borderId="1" xfId="51" applyNumberFormat="1" applyFont="1" applyFill="1" applyBorder="1" applyAlignment="1">
      <alignment horizontal="right" vertical="center"/>
    </xf>
    <xf numFmtId="3" fontId="4" fillId="3" borderId="17" xfId="0" applyNumberFormat="1" applyFont="1" applyFill="1" applyBorder="1" applyAlignment="1">
      <alignment horizontal="right" vertical="center"/>
    </xf>
    <xf numFmtId="0" fontId="4" fillId="3" borderId="17" xfId="0" applyFont="1" applyFill="1" applyBorder="1" applyAlignment="1">
      <alignment horizontal="right" vertical="center"/>
    </xf>
    <xf numFmtId="3" fontId="4" fillId="12" borderId="5" xfId="0" applyNumberFormat="1" applyFont="1" applyFill="1" applyBorder="1" applyAlignment="1">
      <alignment horizontal="center" vertical="center"/>
    </xf>
    <xf numFmtId="171" fontId="4" fillId="12" borderId="5" xfId="0" applyNumberFormat="1" applyFont="1" applyFill="1" applyBorder="1" applyAlignment="1">
      <alignment horizontal="center" vertical="center"/>
    </xf>
    <xf numFmtId="0" fontId="13" fillId="0" borderId="0" xfId="0" applyFont="1" applyAlignment="1">
      <alignment horizontal="center"/>
    </xf>
    <xf numFmtId="0" fontId="2" fillId="0" borderId="0" xfId="0" applyFont="1"/>
    <xf numFmtId="0" fontId="4" fillId="0" borderId="0" xfId="205" applyFont="1"/>
    <xf numFmtId="0" fontId="54" fillId="0" borderId="0" xfId="0" applyFont="1"/>
    <xf numFmtId="0" fontId="55" fillId="0" borderId="0" xfId="0" applyFont="1"/>
    <xf numFmtId="0" fontId="56" fillId="0" borderId="0" xfId="0" applyFont="1" applyAlignment="1">
      <alignment horizontal="left" vertical="center" readingOrder="1"/>
    </xf>
    <xf numFmtId="0" fontId="57" fillId="0" borderId="0" xfId="0" applyFont="1" applyAlignment="1">
      <alignment horizontal="left" vertical="center" indent="2" readingOrder="1"/>
    </xf>
    <xf numFmtId="0" fontId="57" fillId="0" borderId="2" xfId="0" applyFont="1" applyBorder="1" applyAlignment="1">
      <alignment horizontal="center" vertical="center" readingOrder="1"/>
    </xf>
    <xf numFmtId="0" fontId="58" fillId="0" borderId="0" xfId="0" applyFont="1" applyAlignment="1">
      <alignment horizontal="left" vertical="center" readingOrder="1"/>
    </xf>
    <xf numFmtId="0" fontId="0" fillId="19" borderId="0" xfId="0" applyFill="1"/>
    <xf numFmtId="0" fontId="56" fillId="19" borderId="0" xfId="0" applyFont="1" applyFill="1" applyAlignment="1">
      <alignment horizontal="left" vertical="center" readingOrder="1"/>
    </xf>
    <xf numFmtId="0" fontId="60" fillId="0" borderId="0" xfId="0" applyFont="1" applyAlignment="1">
      <alignment wrapText="1"/>
    </xf>
    <xf numFmtId="0" fontId="1" fillId="0" borderId="0" xfId="0" applyFont="1"/>
    <xf numFmtId="0" fontId="61" fillId="0" borderId="0" xfId="0" applyFont="1" applyAlignment="1">
      <alignment horizontal="left"/>
    </xf>
    <xf numFmtId="0" fontId="62" fillId="0" borderId="0" xfId="0" applyFont="1"/>
    <xf numFmtId="0" fontId="32" fillId="0" borderId="0" xfId="13" applyFont="1" applyAlignment="1" applyProtection="1"/>
    <xf numFmtId="0" fontId="5" fillId="0" borderId="0" xfId="29" applyFont="1" applyAlignment="1">
      <alignment wrapText="1"/>
    </xf>
    <xf numFmtId="0" fontId="4" fillId="0" borderId="0" xfId="29" applyFont="1" applyAlignment="1">
      <alignment vertical="center" wrapText="1"/>
    </xf>
    <xf numFmtId="0" fontId="5" fillId="0" borderId="0" xfId="0" applyFont="1" applyAlignment="1">
      <alignment wrapText="1"/>
    </xf>
    <xf numFmtId="0" fontId="5" fillId="0" borderId="0" xfId="91" applyFont="1" applyAlignment="1">
      <alignment vertical="center" wrapText="1"/>
    </xf>
    <xf numFmtId="0" fontId="4" fillId="0" borderId="0" xfId="91" applyFont="1" applyAlignment="1">
      <alignment vertical="center" wrapText="1"/>
    </xf>
    <xf numFmtId="0" fontId="4" fillId="0" borderId="0" xfId="125" applyFont="1" applyAlignment="1">
      <alignment vertical="center" wrapText="1"/>
    </xf>
    <xf numFmtId="0" fontId="4" fillId="0" borderId="0" xfId="96" applyFont="1" applyAlignment="1">
      <alignment vertical="center" wrapText="1"/>
    </xf>
    <xf numFmtId="0" fontId="4" fillId="0" borderId="0" xfId="469" applyFont="1" applyAlignment="1">
      <alignment vertical="center" wrapText="1"/>
    </xf>
    <xf numFmtId="0" fontId="62" fillId="0" borderId="0" xfId="511" applyFont="1"/>
    <xf numFmtId="0" fontId="62" fillId="0" borderId="0" xfId="511" applyFont="1" applyAlignment="1">
      <alignment horizontal="left" wrapText="1"/>
    </xf>
    <xf numFmtId="0" fontId="62" fillId="0" borderId="0" xfId="511" applyFont="1" applyAlignment="1">
      <alignment horizontal="center" wrapText="1"/>
    </xf>
    <xf numFmtId="0" fontId="62" fillId="0" borderId="0" xfId="511" applyFont="1" applyAlignment="1">
      <alignment horizontal="center"/>
    </xf>
    <xf numFmtId="0" fontId="65" fillId="20" borderId="1" xfId="511" applyFont="1" applyFill="1" applyBorder="1" applyAlignment="1">
      <alignment horizontal="center" vertical="center"/>
    </xf>
    <xf numFmtId="0" fontId="62" fillId="0" borderId="1" xfId="511" applyFont="1" applyBorder="1" applyAlignment="1">
      <alignment horizontal="center"/>
    </xf>
    <xf numFmtId="0" fontId="62" fillId="0" borderId="6" xfId="511" applyFont="1" applyBorder="1" applyAlignment="1">
      <alignment horizontal="center"/>
    </xf>
    <xf numFmtId="0" fontId="66" fillId="0" borderId="5" xfId="511" applyFont="1" applyBorder="1" applyAlignment="1">
      <alignment horizontal="center" vertical="center"/>
    </xf>
    <xf numFmtId="0" fontId="62" fillId="0" borderId="0" xfId="511" applyFont="1" applyAlignment="1">
      <alignment horizontal="right" wrapText="1"/>
    </xf>
    <xf numFmtId="0" fontId="62" fillId="0" borderId="0" xfId="511" applyFont="1" applyAlignment="1">
      <alignment wrapText="1"/>
    </xf>
    <xf numFmtId="0" fontId="4" fillId="2" borderId="11" xfId="35" applyFont="1" applyFill="1" applyBorder="1" applyAlignment="1" applyProtection="1">
      <alignment horizontal="left" vertical="center"/>
      <protection locked="0"/>
    </xf>
    <xf numFmtId="1" fontId="4" fillId="2" borderId="1" xfId="0" applyNumberFormat="1" applyFont="1" applyFill="1" applyBorder="1" applyAlignment="1" applyProtection="1">
      <alignment horizontal="center" vertical="center"/>
      <protection locked="0"/>
    </xf>
    <xf numFmtId="37" fontId="12" fillId="3" borderId="0" xfId="0" applyNumberFormat="1" applyFont="1" applyFill="1" applyAlignment="1">
      <alignment horizontal="center" vertical="center"/>
    </xf>
    <xf numFmtId="0" fontId="13" fillId="0" borderId="0" xfId="0" applyFont="1" applyAlignment="1">
      <alignment horizontal="center" vertical="center"/>
    </xf>
    <xf numFmtId="37" fontId="11" fillId="3" borderId="0" xfId="0" applyNumberFormat="1" applyFont="1" applyFill="1" applyAlignment="1">
      <alignment horizontal="center" vertical="center"/>
    </xf>
    <xf numFmtId="0" fontId="0" fillId="0" borderId="0" xfId="0" applyAlignment="1">
      <alignment horizontal="center" vertical="center"/>
    </xf>
    <xf numFmtId="37" fontId="3" fillId="3" borderId="0" xfId="29" applyNumberFormat="1" applyFont="1" applyFill="1" applyAlignment="1">
      <alignment vertical="center" wrapText="1"/>
    </xf>
    <xf numFmtId="0" fontId="4" fillId="3" borderId="14" xfId="29" applyFont="1" applyFill="1" applyBorder="1" applyAlignment="1">
      <alignment vertical="center" wrapText="1"/>
    </xf>
    <xf numFmtId="0" fontId="2" fillId="0" borderId="13" xfId="29" applyBorder="1" applyAlignment="1">
      <alignment vertical="center" wrapText="1"/>
    </xf>
    <xf numFmtId="0" fontId="2" fillId="0" borderId="16" xfId="29" applyBorder="1" applyAlignment="1">
      <alignment vertical="center" wrapText="1"/>
    </xf>
    <xf numFmtId="0" fontId="2" fillId="0" borderId="12" xfId="29" applyBorder="1" applyAlignment="1">
      <alignment vertical="center" wrapText="1"/>
    </xf>
    <xf numFmtId="0" fontId="2" fillId="0" borderId="15" xfId="29" applyBorder="1" applyAlignment="1">
      <alignment vertical="center" wrapText="1"/>
    </xf>
    <xf numFmtId="0" fontId="2" fillId="0" borderId="7" xfId="29" applyBorder="1" applyAlignment="1">
      <alignment vertical="center" wrapText="1"/>
    </xf>
    <xf numFmtId="37" fontId="4" fillId="6" borderId="11" xfId="0" applyNumberFormat="1" applyFont="1" applyFill="1" applyBorder="1" applyAlignment="1" applyProtection="1">
      <alignment horizontal="center" vertical="center"/>
      <protection locked="0"/>
    </xf>
    <xf numFmtId="37" fontId="4" fillId="6" borderId="9" xfId="0" applyNumberFormat="1" applyFont="1" applyFill="1" applyBorder="1" applyAlignment="1" applyProtection="1">
      <alignment horizontal="center" vertical="center"/>
      <protection locked="0"/>
    </xf>
    <xf numFmtId="0" fontId="14" fillId="3" borderId="0" xfId="0" applyFont="1" applyFill="1" applyAlignment="1">
      <alignment vertical="center"/>
    </xf>
    <xf numFmtId="0" fontId="17" fillId="0" borderId="0" xfId="0" applyFont="1" applyAlignment="1">
      <alignment vertical="center"/>
    </xf>
    <xf numFmtId="0" fontId="4" fillId="5" borderId="10" xfId="0" applyFont="1" applyFill="1" applyBorder="1" applyAlignment="1">
      <alignment vertical="center" wrapText="1"/>
    </xf>
    <xf numFmtId="0" fontId="0" fillId="0" borderId="10" xfId="0" applyBorder="1" applyAlignment="1">
      <alignment vertical="center" wrapText="1"/>
    </xf>
    <xf numFmtId="0" fontId="3" fillId="7" borderId="0" xfId="0" applyFont="1" applyFill="1" applyAlignment="1">
      <alignment horizontal="center" vertical="center"/>
    </xf>
    <xf numFmtId="0" fontId="1" fillId="7" borderId="0" xfId="0" applyFont="1" applyFill="1" applyAlignment="1">
      <alignment horizontal="center" vertical="center"/>
    </xf>
    <xf numFmtId="0" fontId="49" fillId="18" borderId="0" xfId="0" applyFont="1" applyFill="1" applyAlignment="1">
      <alignment horizontal="center" vertical="center"/>
    </xf>
    <xf numFmtId="0" fontId="50" fillId="18" borderId="0" xfId="474" applyFont="1" applyFill="1" applyAlignment="1">
      <alignment horizontal="center" vertical="center" wrapText="1"/>
    </xf>
    <xf numFmtId="0" fontId="4" fillId="0" borderId="0" xfId="474" applyFont="1" applyAlignment="1">
      <alignment horizontal="center" vertical="center" wrapText="1"/>
    </xf>
    <xf numFmtId="49" fontId="4" fillId="6" borderId="11" xfId="474" applyNumberFormat="1" applyFont="1" applyFill="1" applyBorder="1" applyAlignment="1" applyProtection="1">
      <alignment horizontal="left" vertical="center"/>
      <protection locked="0"/>
    </xf>
    <xf numFmtId="49" fontId="4" fillId="6" borderId="8" xfId="474" applyNumberFormat="1" applyFont="1" applyFill="1" applyBorder="1" applyAlignment="1" applyProtection="1">
      <alignment horizontal="left" vertical="center"/>
      <protection locked="0"/>
    </xf>
    <xf numFmtId="49" fontId="4" fillId="6" borderId="9" xfId="474" applyNumberFormat="1" applyFont="1" applyFill="1" applyBorder="1" applyAlignment="1" applyProtection="1">
      <alignment horizontal="left" vertical="center"/>
      <protection locked="0"/>
    </xf>
    <xf numFmtId="0" fontId="18" fillId="0" borderId="0" xfId="0" applyFont="1" applyAlignment="1">
      <alignment horizontal="center" vertical="top" wrapText="1"/>
    </xf>
    <xf numFmtId="0" fontId="4" fillId="6" borderId="11" xfId="474" applyFont="1" applyFill="1" applyBorder="1" applyAlignment="1" applyProtection="1">
      <alignment horizontal="left" vertical="center"/>
      <protection locked="0"/>
    </xf>
    <xf numFmtId="0" fontId="4" fillId="6" borderId="8" xfId="474" applyFont="1" applyFill="1" applyBorder="1" applyAlignment="1" applyProtection="1">
      <alignment horizontal="left" vertical="center"/>
      <protection locked="0"/>
    </xf>
    <xf numFmtId="0" fontId="4" fillId="6" borderId="9" xfId="474" applyFont="1" applyFill="1" applyBorder="1" applyAlignment="1" applyProtection="1">
      <alignment horizontal="left" vertical="center"/>
      <protection locked="0"/>
    </xf>
    <xf numFmtId="0" fontId="3" fillId="17" borderId="0" xfId="0" applyFont="1" applyFill="1" applyAlignment="1">
      <alignment horizontal="left" vertical="top" wrapText="1"/>
    </xf>
    <xf numFmtId="0" fontId="28" fillId="3" borderId="0" xfId="0" applyFont="1" applyFill="1" applyAlignment="1">
      <alignment horizontal="center" vertical="center"/>
    </xf>
    <xf numFmtId="37"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0" fillId="0" borderId="0" xfId="0" applyAlignment="1">
      <alignment vertical="center"/>
    </xf>
    <xf numFmtId="0" fontId="7" fillId="7" borderId="3" xfId="0" applyFont="1" applyFill="1" applyBorder="1" applyAlignment="1">
      <alignment horizontal="center" vertical="center" wrapText="1" shrinkToFit="1"/>
    </xf>
    <xf numFmtId="0" fontId="0" fillId="0" borderId="5" xfId="0" applyBorder="1" applyAlignment="1">
      <alignment horizontal="center" vertical="center" wrapText="1"/>
    </xf>
    <xf numFmtId="3" fontId="4" fillId="6" borderId="3" xfId="0" applyNumberFormat="1" applyFont="1" applyFill="1" applyBorder="1" applyAlignment="1" applyProtection="1">
      <alignment horizontal="center" vertical="center"/>
      <protection locked="0"/>
    </xf>
    <xf numFmtId="3" fontId="4" fillId="6" borderId="5" xfId="0" applyNumberFormat="1" applyFont="1" applyFill="1" applyBorder="1" applyAlignment="1" applyProtection="1">
      <alignment horizontal="center" vertical="center"/>
      <protection locked="0"/>
    </xf>
    <xf numFmtId="37" fontId="4" fillId="3" borderId="11" xfId="0" applyNumberFormat="1" applyFont="1" applyFill="1" applyBorder="1" applyAlignment="1">
      <alignment horizontal="left" vertical="center"/>
    </xf>
    <xf numFmtId="37" fontId="4" fillId="3" borderId="9" xfId="0" applyNumberFormat="1" applyFont="1" applyFill="1" applyBorder="1" applyAlignment="1">
      <alignment horizontal="left" vertical="center"/>
    </xf>
    <xf numFmtId="37" fontId="4" fillId="3" borderId="3" xfId="0" applyNumberFormat="1" applyFont="1" applyFill="1" applyBorder="1" applyAlignment="1">
      <alignment horizontal="center" vertical="center" wrapText="1"/>
    </xf>
    <xf numFmtId="37" fontId="4" fillId="3" borderId="4" xfId="0" applyNumberFormat="1" applyFont="1" applyFill="1" applyBorder="1" applyAlignment="1">
      <alignment horizontal="center" vertical="center" wrapText="1"/>
    </xf>
    <xf numFmtId="37" fontId="4" fillId="3" borderId="5" xfId="0" applyNumberFormat="1" applyFont="1" applyFill="1" applyBorder="1" applyAlignment="1">
      <alignment horizontal="center" vertical="center" wrapText="1"/>
    </xf>
    <xf numFmtId="0" fontId="4" fillId="3" borderId="0" xfId="0" applyFont="1" applyFill="1" applyAlignment="1">
      <alignment horizontal="right" vertical="center"/>
    </xf>
    <xf numFmtId="0" fontId="4" fillId="3" borderId="12" xfId="0" applyFont="1" applyFill="1" applyBorder="1" applyAlignment="1">
      <alignment horizontal="right" vertical="center"/>
    </xf>
    <xf numFmtId="37" fontId="4" fillId="3" borderId="11" xfId="0" applyNumberFormat="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3" borderId="0" xfId="0" applyFont="1" applyFill="1" applyAlignment="1">
      <alignment horizontal="center" vertical="center"/>
    </xf>
    <xf numFmtId="0" fontId="4" fillId="3" borderId="15" xfId="0" applyFont="1" applyFill="1" applyBorder="1" applyAlignment="1">
      <alignment horizontal="center" vertical="center"/>
    </xf>
    <xf numFmtId="0" fontId="0" fillId="0" borderId="7" xfId="0" applyBorder="1" applyAlignment="1">
      <alignment vertical="center"/>
    </xf>
    <xf numFmtId="1" fontId="4" fillId="3" borderId="15" xfId="0" applyNumberFormat="1" applyFont="1" applyFill="1" applyBorder="1" applyAlignment="1">
      <alignment horizontal="center" vertical="center"/>
    </xf>
    <xf numFmtId="0" fontId="0" fillId="0" borderId="7" xfId="0" applyBorder="1" applyAlignment="1">
      <alignment horizontal="center" vertical="center"/>
    </xf>
    <xf numFmtId="0" fontId="20" fillId="5" borderId="0" xfId="509" applyFont="1" applyFill="1" applyAlignment="1">
      <alignment horizontal="center"/>
    </xf>
    <xf numFmtId="0" fontId="11" fillId="13" borderId="0" xfId="495" applyFont="1" applyFill="1" applyAlignment="1">
      <alignment horizontal="center"/>
    </xf>
    <xf numFmtId="0" fontId="2" fillId="13" borderId="0" xfId="35" applyFill="1" applyAlignment="1">
      <alignment horizontal="center"/>
    </xf>
    <xf numFmtId="0" fontId="3" fillId="13" borderId="0" xfId="35" applyFont="1" applyFill="1" applyAlignment="1">
      <alignment horizontal="center" vertical="center"/>
    </xf>
    <xf numFmtId="0" fontId="11" fillId="13" borderId="0" xfId="35" applyFont="1" applyFill="1" applyAlignment="1">
      <alignment horizontal="center" vertical="center"/>
    </xf>
    <xf numFmtId="0" fontId="4" fillId="13" borderId="0" xfId="35" applyFont="1" applyFill="1" applyAlignment="1">
      <alignment vertical="center" wrapText="1"/>
    </xf>
    <xf numFmtId="0" fontId="34" fillId="13" borderId="14" xfId="51" applyFont="1" applyFill="1" applyBorder="1" applyAlignment="1">
      <alignment horizontal="center" vertical="center"/>
    </xf>
    <xf numFmtId="0" fontId="34" fillId="13" borderId="10" xfId="51" applyFont="1" applyFill="1" applyBorder="1" applyAlignment="1">
      <alignment horizontal="center" vertical="center"/>
    </xf>
    <xf numFmtId="0" fontId="2" fillId="0" borderId="13" xfId="51" applyBorder="1" applyAlignment="1">
      <alignment vertical="center"/>
    </xf>
    <xf numFmtId="3" fontId="4" fillId="3" borderId="10" xfId="56" applyNumberFormat="1" applyFont="1" applyFill="1" applyBorder="1" applyAlignment="1">
      <alignment horizontal="right" vertical="center"/>
    </xf>
    <xf numFmtId="0" fontId="2" fillId="0" borderId="13" xfId="56" applyBorder="1" applyAlignment="1">
      <alignment horizontal="right" vertical="center"/>
    </xf>
    <xf numFmtId="0" fontId="4" fillId="3" borderId="0" xfId="56" applyFont="1" applyFill="1" applyAlignment="1">
      <alignment horizontal="right" vertical="center"/>
    </xf>
    <xf numFmtId="0" fontId="4" fillId="0" borderId="12" xfId="56" applyFont="1" applyBorder="1" applyAlignment="1">
      <alignment horizontal="right" vertical="center"/>
    </xf>
    <xf numFmtId="0" fontId="0" fillId="0" borderId="0" xfId="0" applyAlignment="1">
      <alignment horizontal="right" vertical="center"/>
    </xf>
    <xf numFmtId="0" fontId="0" fillId="0" borderId="10" xfId="0" applyBorder="1" applyAlignment="1">
      <alignment vertical="center"/>
    </xf>
    <xf numFmtId="0" fontId="0" fillId="0" borderId="13" xfId="0" applyBorder="1" applyAlignment="1">
      <alignment vertical="center"/>
    </xf>
    <xf numFmtId="171" fontId="34" fillId="13" borderId="14" xfId="0" applyNumberFormat="1" applyFont="1" applyFill="1" applyBorder="1" applyAlignment="1">
      <alignment horizontal="center" wrapText="1"/>
    </xf>
    <xf numFmtId="171" fontId="34" fillId="13" borderId="10" xfId="0" applyNumberFormat="1" applyFont="1" applyFill="1" applyBorder="1" applyAlignment="1">
      <alignment horizontal="center" wrapText="1"/>
    </xf>
    <xf numFmtId="171" fontId="34" fillId="13" borderId="13" xfId="0" applyNumberFormat="1" applyFont="1" applyFill="1" applyBorder="1" applyAlignment="1">
      <alignment horizontal="center" wrapText="1"/>
    </xf>
    <xf numFmtId="171" fontId="34" fillId="13" borderId="16" xfId="0" applyNumberFormat="1" applyFont="1" applyFill="1" applyBorder="1" applyAlignment="1">
      <alignment horizontal="center" wrapText="1"/>
    </xf>
    <xf numFmtId="171" fontId="34" fillId="13" borderId="0" xfId="0" applyNumberFormat="1" applyFont="1" applyFill="1" applyAlignment="1">
      <alignment horizontal="center" wrapText="1"/>
    </xf>
    <xf numFmtId="171" fontId="34" fillId="13" borderId="12" xfId="0" applyNumberFormat="1" applyFont="1" applyFill="1" applyBorder="1" applyAlignment="1">
      <alignment horizontal="center" wrapText="1"/>
    </xf>
    <xf numFmtId="0" fontId="4" fillId="13" borderId="16"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5" xfId="0" applyFont="1" applyFill="1" applyBorder="1" applyAlignment="1">
      <alignment horizontal="center" vertical="center" wrapText="1"/>
    </xf>
    <xf numFmtId="0" fontId="4" fillId="13" borderId="2" xfId="0" applyFont="1" applyFill="1" applyBorder="1" applyAlignment="1">
      <alignment horizontal="center" vertical="center" wrapText="1"/>
    </xf>
    <xf numFmtId="49" fontId="51" fillId="13" borderId="12" xfId="0" applyNumberFormat="1" applyFont="1" applyFill="1" applyBorder="1" applyAlignment="1">
      <alignment horizontal="center" vertical="center"/>
    </xf>
    <xf numFmtId="49" fontId="51" fillId="13" borderId="7" xfId="0" applyNumberFormat="1" applyFont="1" applyFill="1" applyBorder="1" applyAlignment="1">
      <alignment horizontal="center" vertical="center"/>
    </xf>
    <xf numFmtId="0" fontId="43" fillId="0" borderId="10" xfId="0" applyFont="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 fillId="3" borderId="0" xfId="13" applyNumberFormat="1" applyFont="1" applyFill="1" applyBorder="1" applyAlignment="1" applyProtection="1">
      <alignment horizontal="right" vertical="center"/>
    </xf>
    <xf numFmtId="0" fontId="4" fillId="0" borderId="0" xfId="13" applyFont="1" applyAlignment="1" applyProtection="1">
      <alignment horizontal="right" vertical="center"/>
    </xf>
    <xf numFmtId="0" fontId="34" fillId="13" borderId="14" xfId="0" applyFont="1" applyFill="1" applyBorder="1" applyAlignment="1">
      <alignment horizontal="center" vertical="center"/>
    </xf>
    <xf numFmtId="0" fontId="0" fillId="0" borderId="10" xfId="0" applyBorder="1" applyAlignment="1">
      <alignment horizontal="center" vertical="center"/>
    </xf>
    <xf numFmtId="0" fontId="0" fillId="0" borderId="13" xfId="0" applyBorder="1"/>
    <xf numFmtId="0" fontId="34" fillId="13" borderId="10" xfId="0" applyFont="1" applyFill="1" applyBorder="1" applyAlignment="1">
      <alignment horizontal="center" vertical="center"/>
    </xf>
    <xf numFmtId="0" fontId="34" fillId="13" borderId="13" xfId="0" applyFont="1" applyFill="1" applyBorder="1" applyAlignment="1">
      <alignment horizontal="center" vertical="center"/>
    </xf>
    <xf numFmtId="0" fontId="37" fillId="0" borderId="10" xfId="0" applyFont="1" applyBorder="1" applyAlignment="1">
      <alignment horizontal="center" vertical="center"/>
    </xf>
    <xf numFmtId="0" fontId="4" fillId="5" borderId="0" xfId="0" applyFont="1" applyFill="1" applyAlignment="1">
      <alignment horizontal="right" vertical="center"/>
    </xf>
    <xf numFmtId="0" fontId="3" fillId="3" borderId="11" xfId="0" applyFont="1" applyFill="1" applyBorder="1" applyAlignment="1">
      <alignment horizontal="center" vertical="center"/>
    </xf>
    <xf numFmtId="0" fontId="3" fillId="3" borderId="9" xfId="0" applyFont="1" applyFill="1" applyBorder="1" applyAlignment="1">
      <alignment horizontal="center" vertical="center"/>
    </xf>
    <xf numFmtId="0" fontId="49" fillId="13" borderId="13" xfId="0" applyFont="1" applyFill="1" applyBorder="1" applyAlignment="1">
      <alignment horizontal="center" vertical="center" wrapText="1"/>
    </xf>
    <xf numFmtId="0" fontId="50" fillId="13" borderId="7" xfId="0" applyFont="1" applyFill="1" applyBorder="1" applyAlignment="1">
      <alignment horizontal="center" vertical="center" wrapText="1"/>
    </xf>
    <xf numFmtId="37" fontId="4" fillId="3" borderId="3" xfId="35" applyNumberFormat="1" applyFont="1" applyFill="1" applyBorder="1" applyAlignment="1">
      <alignment horizontal="center" wrapText="1"/>
    </xf>
    <xf numFmtId="37" fontId="4" fillId="3" borderId="5" xfId="35" applyNumberFormat="1" applyFont="1" applyFill="1" applyBorder="1" applyAlignment="1">
      <alignment horizontal="center" wrapText="1"/>
    </xf>
    <xf numFmtId="37" fontId="4" fillId="3" borderId="3" xfId="0" applyNumberFormat="1" applyFont="1" applyFill="1" applyBorder="1" applyAlignment="1">
      <alignment horizontal="center" wrapText="1"/>
    </xf>
    <xf numFmtId="37" fontId="4" fillId="3" borderId="5" xfId="0" applyNumberFormat="1" applyFont="1" applyFill="1" applyBorder="1" applyAlignment="1">
      <alignment horizontal="center" wrapText="1"/>
    </xf>
    <xf numFmtId="37" fontId="18" fillId="3" borderId="15" xfId="0" applyNumberFormat="1" applyFont="1" applyFill="1" applyBorder="1" applyAlignment="1">
      <alignment horizontal="right" vertical="center"/>
    </xf>
    <xf numFmtId="37" fontId="18" fillId="3" borderId="2" xfId="0" applyNumberFormat="1" applyFont="1" applyFill="1" applyBorder="1" applyAlignment="1">
      <alignment horizontal="right" vertical="center"/>
    </xf>
    <xf numFmtId="37" fontId="18" fillId="3" borderId="7" xfId="0" applyNumberFormat="1" applyFont="1" applyFill="1" applyBorder="1" applyAlignment="1">
      <alignment horizontal="right" vertical="center"/>
    </xf>
    <xf numFmtId="0" fontId="3" fillId="13" borderId="14" xfId="0" applyFont="1" applyFill="1" applyBorder="1" applyAlignment="1">
      <alignment horizontal="center" wrapText="1"/>
    </xf>
    <xf numFmtId="0" fontId="11" fillId="13" borderId="10" xfId="0" applyFont="1" applyFill="1" applyBorder="1" applyAlignment="1">
      <alignment horizontal="center" wrapText="1"/>
    </xf>
    <xf numFmtId="0" fontId="11" fillId="13" borderId="15" xfId="0" applyFont="1" applyFill="1" applyBorder="1" applyAlignment="1">
      <alignment horizontal="center" wrapText="1"/>
    </xf>
    <xf numFmtId="0" fontId="11" fillId="13" borderId="2" xfId="0" applyFont="1" applyFill="1" applyBorder="1" applyAlignment="1">
      <alignment horizontal="center" wrapText="1"/>
    </xf>
    <xf numFmtId="37" fontId="3" fillId="17" borderId="0" xfId="0" applyNumberFormat="1" applyFont="1" applyFill="1" applyAlignment="1">
      <alignment horizontal="center" vertical="center"/>
    </xf>
    <xf numFmtId="37" fontId="4" fillId="13" borderId="0" xfId="0" applyNumberFormat="1" applyFont="1" applyFill="1" applyAlignment="1">
      <alignment horizontal="center" vertical="center"/>
    </xf>
    <xf numFmtId="0" fontId="11" fillId="13" borderId="14" xfId="51" applyFont="1" applyFill="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37" fontId="4" fillId="13" borderId="0" xfId="78" applyNumberFormat="1" applyFont="1" applyFill="1" applyAlignment="1">
      <alignment horizontal="center"/>
    </xf>
    <xf numFmtId="37" fontId="4" fillId="3" borderId="2" xfId="0" applyNumberFormat="1" applyFont="1" applyFill="1" applyBorder="1" applyAlignment="1" applyProtection="1">
      <alignment horizontal="center" vertical="center"/>
      <protection locked="0"/>
    </xf>
    <xf numFmtId="0" fontId="2" fillId="0" borderId="10" xfId="51" applyBorder="1" applyAlignment="1">
      <alignment horizontal="center"/>
    </xf>
    <xf numFmtId="0" fontId="2" fillId="0" borderId="13" xfId="51" applyBorder="1" applyAlignment="1">
      <alignment horizontal="center"/>
    </xf>
    <xf numFmtId="0" fontId="11" fillId="13" borderId="10" xfId="51" applyFont="1" applyFill="1" applyBorder="1" applyAlignment="1">
      <alignment horizontal="center"/>
    </xf>
    <xf numFmtId="0" fontId="11" fillId="13" borderId="13" xfId="51" applyFont="1" applyFill="1" applyBorder="1" applyAlignment="1">
      <alignment horizontal="center"/>
    </xf>
    <xf numFmtId="37" fontId="4" fillId="3" borderId="3" xfId="0" applyNumberFormat="1" applyFont="1" applyFill="1" applyBorder="1" applyAlignment="1">
      <alignment horizontal="center"/>
    </xf>
    <xf numFmtId="37" fontId="4" fillId="3" borderId="5" xfId="0" applyNumberFormat="1" applyFont="1" applyFill="1" applyBorder="1" applyAlignment="1">
      <alignment horizontal="center"/>
    </xf>
    <xf numFmtId="0" fontId="11" fillId="3" borderId="0" xfId="0" applyFont="1" applyFill="1" applyAlignment="1">
      <alignment horizontal="center" vertical="center"/>
    </xf>
    <xf numFmtId="37" fontId="3" fillId="3" borderId="0" xfId="0" applyNumberFormat="1" applyFont="1" applyFill="1" applyAlignment="1">
      <alignment horizontal="center" vertical="center"/>
    </xf>
    <xf numFmtId="0" fontId="4" fillId="3" borderId="1" xfId="0" applyFont="1" applyFill="1" applyBorder="1" applyAlignment="1">
      <alignment horizontal="center" vertical="center"/>
    </xf>
    <xf numFmtId="49" fontId="4" fillId="3" borderId="0" xfId="0" applyNumberFormat="1" applyFont="1" applyFill="1" applyAlignment="1" applyProtection="1">
      <alignment horizontal="left" vertical="center"/>
      <protection locked="0"/>
    </xf>
    <xf numFmtId="0" fontId="3" fillId="17" borderId="0" xfId="0" applyFont="1" applyFill="1" applyAlignment="1">
      <alignment horizontal="center" vertical="center"/>
    </xf>
    <xf numFmtId="0" fontId="4" fillId="17" borderId="0" xfId="0" applyFont="1" applyFill="1" applyAlignment="1">
      <alignment horizontal="right" vertical="center"/>
    </xf>
    <xf numFmtId="0" fontId="11" fillId="0" borderId="0" xfId="0" applyFont="1" applyAlignment="1">
      <alignment horizontal="center"/>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center"/>
    </xf>
    <xf numFmtId="0" fontId="62" fillId="0" borderId="1" xfId="511" applyFont="1" applyBorder="1" applyAlignment="1">
      <alignment horizontal="center"/>
    </xf>
    <xf numFmtId="0" fontId="62" fillId="0" borderId="6" xfId="511" applyFont="1" applyBorder="1" applyAlignment="1">
      <alignment horizontal="center"/>
    </xf>
    <xf numFmtId="0" fontId="66" fillId="0" borderId="5" xfId="511" applyFont="1" applyBorder="1" applyAlignment="1">
      <alignment horizontal="center" vertical="center"/>
    </xf>
    <xf numFmtId="0" fontId="62" fillId="0" borderId="2" xfId="511" applyFont="1" applyBorder="1" applyAlignment="1">
      <alignment horizontal="center" wrapText="1"/>
    </xf>
    <xf numFmtId="0" fontId="62" fillId="0" borderId="11" xfId="511" applyFont="1" applyBorder="1" applyAlignment="1">
      <alignment horizontal="center"/>
    </xf>
    <xf numFmtId="0" fontId="62" fillId="0" borderId="8" xfId="511" applyFont="1" applyBorder="1" applyAlignment="1">
      <alignment horizontal="center"/>
    </xf>
    <xf numFmtId="0" fontId="62" fillId="0" borderId="9" xfId="511" applyFont="1" applyBorder="1" applyAlignment="1">
      <alignment horizontal="center"/>
    </xf>
    <xf numFmtId="0" fontId="63" fillId="0" borderId="0" xfId="511" applyFont="1" applyAlignment="1">
      <alignment horizontal="center"/>
    </xf>
    <xf numFmtId="0" fontId="62" fillId="0" borderId="0" xfId="511" applyFont="1" applyAlignment="1">
      <alignment horizontal="center" wrapText="1"/>
    </xf>
    <xf numFmtId="0" fontId="62" fillId="0" borderId="0" xfId="511" applyFont="1" applyAlignment="1">
      <alignment horizontal="center"/>
    </xf>
    <xf numFmtId="0" fontId="65" fillId="20" borderId="11" xfId="511" applyFont="1" applyFill="1" applyBorder="1" applyAlignment="1">
      <alignment horizontal="center" vertical="center"/>
    </xf>
    <xf numFmtId="0" fontId="65" fillId="20" borderId="8" xfId="511" applyFont="1" applyFill="1" applyBorder="1" applyAlignment="1">
      <alignment horizontal="center" vertical="center"/>
    </xf>
    <xf numFmtId="0" fontId="65" fillId="20" borderId="9" xfId="511" applyFont="1" applyFill="1" applyBorder="1" applyAlignment="1">
      <alignment horizontal="center" vertical="center"/>
    </xf>
    <xf numFmtId="0" fontId="4" fillId="0" borderId="0" xfId="0" applyFont="1" applyAlignment="1">
      <alignment wrapText="1"/>
    </xf>
    <xf numFmtId="0" fontId="3" fillId="0" borderId="0" xfId="0" applyFont="1" applyAlignment="1">
      <alignment wrapText="1"/>
    </xf>
    <xf numFmtId="0" fontId="52" fillId="0" borderId="0" xfId="0" quotePrefix="1" applyFont="1" applyAlignment="1">
      <alignment horizontal="center" vertical="center"/>
    </xf>
    <xf numFmtId="0" fontId="52" fillId="0" borderId="0" xfId="0" applyFont="1" applyAlignment="1">
      <alignment horizontal="center" vertical="center"/>
    </xf>
    <xf numFmtId="0" fontId="49" fillId="0" borderId="0" xfId="0" applyFont="1" applyAlignment="1">
      <alignment horizontal="center" vertical="center"/>
    </xf>
    <xf numFmtId="0" fontId="60" fillId="0" borderId="0" xfId="0" applyFont="1" applyAlignment="1">
      <alignment horizontal="center" wrapText="1"/>
    </xf>
  </cellXfs>
  <cellStyles count="512">
    <cellStyle name="Comma" xfId="1" builtinId="3"/>
    <cellStyle name="Comma 11 2" xfId="2"/>
    <cellStyle name="Comma 16" xfId="3"/>
    <cellStyle name="Comma 16 2" xfId="4"/>
    <cellStyle name="Comma 16 3" xfId="5"/>
    <cellStyle name="Comma 2 2" xfId="6"/>
    <cellStyle name="Comma 3 2" xfId="7"/>
    <cellStyle name="Comma 3 3" xfId="8"/>
    <cellStyle name="Comma 4 2" xfId="9"/>
    <cellStyle name="Comma 6 2" xfId="10"/>
    <cellStyle name="Comma 7 2" xfId="11"/>
    <cellStyle name="Comma 7 3" xfId="12"/>
    <cellStyle name="Hyperlink" xfId="13" builtinId="8"/>
    <cellStyle name="Hyperlink 2 2" xfId="14"/>
    <cellStyle name="Hyperlink 2 3" xfId="15"/>
    <cellStyle name="Hyperlink 3" xfId="16"/>
    <cellStyle name="Hyperlink 3 2" xfId="17"/>
    <cellStyle name="Hyperlink 3 3" xfId="18"/>
    <cellStyle name="Hyperlink 3 4" xfId="19"/>
    <cellStyle name="Hyperlink 4" xfId="20"/>
    <cellStyle name="Hyperlink 4 2" xfId="21"/>
    <cellStyle name="Hyperlink 7" xfId="22"/>
    <cellStyle name="Hyperlink 7 2" xfId="23"/>
    <cellStyle name="Hyperlink 7 3" xfId="24"/>
    <cellStyle name="Hyperlink 8" xfId="25"/>
    <cellStyle name="Hyperlink 8 2" xfId="26"/>
    <cellStyle name="Normal" xfId="0" builtinId="0"/>
    <cellStyle name="Normal 10" xfId="27"/>
    <cellStyle name="Normal 10 2" xfId="28"/>
    <cellStyle name="Normal 10 2 2" xfId="29"/>
    <cellStyle name="Normal 10 2 2 2" xfId="30"/>
    <cellStyle name="Normal 10 2 2 3" xfId="31"/>
    <cellStyle name="Normal 10 2 3" xfId="32"/>
    <cellStyle name="Normal 10 3" xfId="33"/>
    <cellStyle name="Normal 10 4" xfId="34"/>
    <cellStyle name="Normal 10 5" xfId="35"/>
    <cellStyle name="Normal 10 5 2" xfId="36"/>
    <cellStyle name="Normal 10 5 3" xfId="37"/>
    <cellStyle name="Normal 10 6" xfId="38"/>
    <cellStyle name="Normal 10 7" xfId="39"/>
    <cellStyle name="Normal 11" xfId="40"/>
    <cellStyle name="Normal 11 2" xfId="41"/>
    <cellStyle name="Normal 11 2 2" xfId="42"/>
    <cellStyle name="Normal 11 2 3" xfId="43"/>
    <cellStyle name="Normal 11 3" xfId="44"/>
    <cellStyle name="Normal 11 4" xfId="45"/>
    <cellStyle name="Normal 11 5" xfId="46"/>
    <cellStyle name="Normal 11 5 2" xfId="47"/>
    <cellStyle name="Normal 11 5 3" xfId="48"/>
    <cellStyle name="Normal 11 6" xfId="49"/>
    <cellStyle name="Normal 12" xfId="50"/>
    <cellStyle name="Normal 12 10" xfId="51"/>
    <cellStyle name="Normal 12 11" xfId="52"/>
    <cellStyle name="Normal 12 12" xfId="53"/>
    <cellStyle name="Normal 12 13" xfId="54"/>
    <cellStyle name="Normal 12 2" xfId="55"/>
    <cellStyle name="Normal 12 2 2" xfId="56"/>
    <cellStyle name="Normal 12 3" xfId="57"/>
    <cellStyle name="Normal 12 4" xfId="58"/>
    <cellStyle name="Normal 12 5" xfId="59"/>
    <cellStyle name="Normal 12 6" xfId="60"/>
    <cellStyle name="Normal 12 7" xfId="61"/>
    <cellStyle name="Normal 12 8" xfId="62"/>
    <cellStyle name="Normal 12 9" xfId="63"/>
    <cellStyle name="Normal 13" xfId="64"/>
    <cellStyle name="Normal 13 10" xfId="65"/>
    <cellStyle name="Normal 13 11" xfId="66"/>
    <cellStyle name="Normal 13 12" xfId="67"/>
    <cellStyle name="Normal 13 13" xfId="68"/>
    <cellStyle name="Normal 13 2" xfId="69"/>
    <cellStyle name="Normal 13 2 2" xfId="70"/>
    <cellStyle name="Normal 13 3" xfId="71"/>
    <cellStyle name="Normal 13 4" xfId="72"/>
    <cellStyle name="Normal 13 5" xfId="73"/>
    <cellStyle name="Normal 13 6" xfId="74"/>
    <cellStyle name="Normal 13 7" xfId="75"/>
    <cellStyle name="Normal 13 8" xfId="76"/>
    <cellStyle name="Normal 13 9" xfId="77"/>
    <cellStyle name="Normal 14" xfId="78"/>
    <cellStyle name="Normal 14 2" xfId="79"/>
    <cellStyle name="Normal 14 3" xfId="80"/>
    <cellStyle name="Normal 14 4" xfId="81"/>
    <cellStyle name="Normal 14 5" xfId="82"/>
    <cellStyle name="Normal 14 6" xfId="83"/>
    <cellStyle name="Normal 14 7" xfId="84"/>
    <cellStyle name="Normal 15" xfId="85"/>
    <cellStyle name="Normal 15 2" xfId="86"/>
    <cellStyle name="Normal 15 3" xfId="87"/>
    <cellStyle name="Normal 15 4" xfId="88"/>
    <cellStyle name="Normal 15 5" xfId="89"/>
    <cellStyle name="Normal 16" xfId="90"/>
    <cellStyle name="Normal 16 2" xfId="91"/>
    <cellStyle name="Normal 16 3" xfId="92"/>
    <cellStyle name="Normal 16 4" xfId="93"/>
    <cellStyle name="Normal 16 5" xfId="94"/>
    <cellStyle name="Normal 17" xfId="95"/>
    <cellStyle name="Normal 17 2" xfId="96"/>
    <cellStyle name="Normal 17 3" xfId="97"/>
    <cellStyle name="Normal 17 4" xfId="98"/>
    <cellStyle name="Normal 17 5" xfId="99"/>
    <cellStyle name="Normal 18" xfId="100"/>
    <cellStyle name="Normal 18 2" xfId="101"/>
    <cellStyle name="Normal 18 2 2" xfId="102"/>
    <cellStyle name="Normal 18 2 3" xfId="103"/>
    <cellStyle name="Normal 18 3" xfId="104"/>
    <cellStyle name="Normal 18 4" xfId="105"/>
    <cellStyle name="Normal 18 5" xfId="106"/>
    <cellStyle name="Normal 18 6" xfId="107"/>
    <cellStyle name="Normal 18 7" xfId="108"/>
    <cellStyle name="Normal 18 8" xfId="109"/>
    <cellStyle name="Normal 18 9" xfId="110"/>
    <cellStyle name="Normal 19" xfId="111"/>
    <cellStyle name="Normal 19 2" xfId="112"/>
    <cellStyle name="Normal 19 2 2" xfId="113"/>
    <cellStyle name="Normal 19 2 3" xfId="114"/>
    <cellStyle name="Normal 19 3" xfId="115"/>
    <cellStyle name="Normal 19 4" xfId="116"/>
    <cellStyle name="Normal 19 5" xfId="117"/>
    <cellStyle name="Normal 19 6" xfId="118"/>
    <cellStyle name="Normal 19 7" xfId="119"/>
    <cellStyle name="Normal 19 8" xfId="120"/>
    <cellStyle name="Normal 2" xfId="121"/>
    <cellStyle name="Normal 2 10" xfId="122"/>
    <cellStyle name="Normal 2 10 10" xfId="123"/>
    <cellStyle name="Normal 2 10 11" xfId="124"/>
    <cellStyle name="Normal 2 10 11 2" xfId="125"/>
    <cellStyle name="Normal 2 10 11 2 2" xfId="126"/>
    <cellStyle name="Normal 2 10 11 2 2 2" xfId="127"/>
    <cellStyle name="Normal 2 10 11 2 2 3" xfId="128"/>
    <cellStyle name="Normal 2 10 11 3" xfId="129"/>
    <cellStyle name="Normal 2 10 11 4" xfId="130"/>
    <cellStyle name="Normal 2 10 11 5" xfId="131"/>
    <cellStyle name="Normal 2 10 12" xfId="132"/>
    <cellStyle name="Normal 2 10 2" xfId="133"/>
    <cellStyle name="Normal 2 10 2 2" xfId="134"/>
    <cellStyle name="Normal 2 10 3" xfId="135"/>
    <cellStyle name="Normal 2 10 3 2" xfId="136"/>
    <cellStyle name="Normal 2 10 4" xfId="137"/>
    <cellStyle name="Normal 2 10 4 2" xfId="138"/>
    <cellStyle name="Normal 2 10 5" xfId="139"/>
    <cellStyle name="Normal 2 10 5 2" xfId="140"/>
    <cellStyle name="Normal 2 10 6" xfId="141"/>
    <cellStyle name="Normal 2 10 6 2" xfId="142"/>
    <cellStyle name="Normal 2 10 7" xfId="143"/>
    <cellStyle name="Normal 2 10 7 2" xfId="144"/>
    <cellStyle name="Normal 2 10 8" xfId="145"/>
    <cellStyle name="Normal 2 10 8 2" xfId="146"/>
    <cellStyle name="Normal 2 10 9" xfId="147"/>
    <cellStyle name="Normal 2 11" xfId="148"/>
    <cellStyle name="Normal 2 11 10" xfId="149"/>
    <cellStyle name="Normal 2 11 11" xfId="150"/>
    <cellStyle name="Normal 2 11 2" xfId="151"/>
    <cellStyle name="Normal 2 11 2 2" xfId="152"/>
    <cellStyle name="Normal 2 11 3" xfId="153"/>
    <cellStyle name="Normal 2 11 3 2" xfId="154"/>
    <cellStyle name="Normal 2 11 4" xfId="155"/>
    <cellStyle name="Normal 2 11 4 2" xfId="156"/>
    <cellStyle name="Normal 2 11 5" xfId="157"/>
    <cellStyle name="Normal 2 11 5 2" xfId="158"/>
    <cellStyle name="Normal 2 11 6" xfId="159"/>
    <cellStyle name="Normal 2 11 6 2" xfId="160"/>
    <cellStyle name="Normal 2 11 7" xfId="161"/>
    <cellStyle name="Normal 2 11 7 2" xfId="162"/>
    <cellStyle name="Normal 2 11 8" xfId="163"/>
    <cellStyle name="Normal 2 11 8 2" xfId="164"/>
    <cellStyle name="Normal 2 11 9" xfId="165"/>
    <cellStyle name="Normal 2 12" xfId="166"/>
    <cellStyle name="Normal 2 13" xfId="167"/>
    <cellStyle name="Normal 2 14" xfId="168"/>
    <cellStyle name="Normal 2 15" xfId="169"/>
    <cellStyle name="Normal 2 16" xfId="170"/>
    <cellStyle name="Normal 2 17" xfId="171"/>
    <cellStyle name="Normal 2 17 2" xfId="172"/>
    <cellStyle name="Normal 2 17 3" xfId="173"/>
    <cellStyle name="Normal 2 2" xfId="174"/>
    <cellStyle name="Normal 2 2 10" xfId="175"/>
    <cellStyle name="Normal 2 2 10 2" xfId="176"/>
    <cellStyle name="Normal 2 2 11" xfId="177"/>
    <cellStyle name="Normal 2 2 11 2" xfId="178"/>
    <cellStyle name="Normal 2 2 12" xfId="179"/>
    <cellStyle name="Normal 2 2 12 2" xfId="180"/>
    <cellStyle name="Normal 2 2 12 2 2" xfId="181"/>
    <cellStyle name="Normal 2 2 12 2 3" xfId="182"/>
    <cellStyle name="Normal 2 2 12 2 4" xfId="183"/>
    <cellStyle name="Normal 2 2 12 3" xfId="184"/>
    <cellStyle name="Normal 2 2 12 4" xfId="185"/>
    <cellStyle name="Normal 2 2 13" xfId="186"/>
    <cellStyle name="Normal 2 2 13 2" xfId="187"/>
    <cellStyle name="Normal 2 2 13 2 2" xfId="188"/>
    <cellStyle name="Normal 2 2 13 2 3" xfId="189"/>
    <cellStyle name="Normal 2 2 13 2 4" xfId="190"/>
    <cellStyle name="Normal 2 2 13 3" xfId="191"/>
    <cellStyle name="Normal 2 2 13 4" xfId="192"/>
    <cellStyle name="Normal 2 2 14" xfId="193"/>
    <cellStyle name="Normal 2 2 14 2" xfId="194"/>
    <cellStyle name="Normal 2 2 15" xfId="195"/>
    <cellStyle name="Normal 2 2 15 2" xfId="196"/>
    <cellStyle name="Normal 2 2 16" xfId="197"/>
    <cellStyle name="Normal 2 2 16 2" xfId="198"/>
    <cellStyle name="Normal 2 2 16 3" xfId="199"/>
    <cellStyle name="Normal 2 2 17" xfId="200"/>
    <cellStyle name="Normal 2 2 18" xfId="201"/>
    <cellStyle name="Normal 2 2 19" xfId="202"/>
    <cellStyle name="Normal 2 2 2" xfId="203"/>
    <cellStyle name="Normal 2 2 2 2" xfId="204"/>
    <cellStyle name="Normal 2 2 2 2 2" xfId="205"/>
    <cellStyle name="Normal 2 2 2 2 3" xfId="206"/>
    <cellStyle name="Normal 2 2 2 2 3 2" xfId="207"/>
    <cellStyle name="Normal 2 2 2 2 3 3" xfId="208"/>
    <cellStyle name="Normal 2 2 2 3" xfId="209"/>
    <cellStyle name="Normal 2 2 2 3 2" xfId="210"/>
    <cellStyle name="Normal 2 2 2 3 3" xfId="211"/>
    <cellStyle name="Normal 2 2 2 3 4" xfId="212"/>
    <cellStyle name="Normal 2 2 2 4" xfId="213"/>
    <cellStyle name="Normal 2 2 2 4 2" xfId="214"/>
    <cellStyle name="Normal 2 2 2 5" xfId="215"/>
    <cellStyle name="Normal 2 2 2 5 2" xfId="216"/>
    <cellStyle name="Normal 2 2 2 5 3" xfId="217"/>
    <cellStyle name="Normal 2 2 2 5 4" xfId="218"/>
    <cellStyle name="Normal 2 2 2 6" xfId="219"/>
    <cellStyle name="Normal 2 2 2 6 2" xfId="220"/>
    <cellStyle name="Normal 2 2 2 7" xfId="221"/>
    <cellStyle name="Normal 2 2 2 7 2" xfId="222"/>
    <cellStyle name="Normal 2 2 2 7 3" xfId="223"/>
    <cellStyle name="Normal 2 2 2 8" xfId="224"/>
    <cellStyle name="Normal 2 2 20" xfId="225"/>
    <cellStyle name="Normal 2 2 21" xfId="226"/>
    <cellStyle name="Normal 2 2 22" xfId="227"/>
    <cellStyle name="Normal 2 2 3" xfId="228"/>
    <cellStyle name="Normal 2 2 3 2" xfId="229"/>
    <cellStyle name="Normal 2 2 4" xfId="230"/>
    <cellStyle name="Normal 2 2 4 2" xfId="231"/>
    <cellStyle name="Normal 2 2 5" xfId="232"/>
    <cellStyle name="Normal 2 2 5 2" xfId="233"/>
    <cellStyle name="Normal 2 2 6" xfId="234"/>
    <cellStyle name="Normal 2 2 6 2" xfId="235"/>
    <cellStyle name="Normal 2 2 7" xfId="236"/>
    <cellStyle name="Normal 2 2 7 2" xfId="237"/>
    <cellStyle name="Normal 2 2 8" xfId="238"/>
    <cellStyle name="Normal 2 2 8 2" xfId="239"/>
    <cellStyle name="Normal 2 2 9" xfId="240"/>
    <cellStyle name="Normal 2 2 9 2" xfId="241"/>
    <cellStyle name="Normal 2 3" xfId="242"/>
    <cellStyle name="Normal 2 3 10" xfId="243"/>
    <cellStyle name="Normal 2 3 11" xfId="244"/>
    <cellStyle name="Normal 2 3 12" xfId="245"/>
    <cellStyle name="Normal 2 3 13" xfId="246"/>
    <cellStyle name="Normal 2 3 14" xfId="247"/>
    <cellStyle name="Normal 2 3 15" xfId="248"/>
    <cellStyle name="Normal 2 3 2" xfId="249"/>
    <cellStyle name="Normal 2 3 2 2" xfId="250"/>
    <cellStyle name="Normal 2 3 2 2 2" xfId="251"/>
    <cellStyle name="Normal 2 3 2 2 3" xfId="252"/>
    <cellStyle name="Normal 2 3 2 3" xfId="253"/>
    <cellStyle name="Normal 2 3 2 4" xfId="254"/>
    <cellStyle name="Normal 2 3 2 5" xfId="255"/>
    <cellStyle name="Normal 2 3 3" xfId="256"/>
    <cellStyle name="Normal 2 3 3 2" xfId="257"/>
    <cellStyle name="Normal 2 3 3 3" xfId="258"/>
    <cellStyle name="Normal 2 3 4" xfId="259"/>
    <cellStyle name="Normal 2 3 5" xfId="260"/>
    <cellStyle name="Normal 2 3 6" xfId="261"/>
    <cellStyle name="Normal 2 3 7" xfId="262"/>
    <cellStyle name="Normal 2 3 8" xfId="263"/>
    <cellStyle name="Normal 2 3 9" xfId="264"/>
    <cellStyle name="Normal 2 4" xfId="265"/>
    <cellStyle name="Normal 2 4 10" xfId="266"/>
    <cellStyle name="Normal 2 4 11" xfId="267"/>
    <cellStyle name="Normal 2 4 12" xfId="268"/>
    <cellStyle name="Normal 2 4 12 2" xfId="269"/>
    <cellStyle name="Normal 2 4 12 3" xfId="270"/>
    <cellStyle name="Normal 2 4 13" xfId="271"/>
    <cellStyle name="Normal 2 4 13 2" xfId="272"/>
    <cellStyle name="Normal 2 4 13 3" xfId="273"/>
    <cellStyle name="Normal 2 4 2" xfId="274"/>
    <cellStyle name="Normal 2 4 2 2" xfId="275"/>
    <cellStyle name="Normal 2 4 2 2 2" xfId="276"/>
    <cellStyle name="Normal 2 4 2 2 3" xfId="277"/>
    <cellStyle name="Normal 2 4 2 3" xfId="278"/>
    <cellStyle name="Normal 2 4 2 4" xfId="279"/>
    <cellStyle name="Normal 2 4 2 5" xfId="280"/>
    <cellStyle name="Normal 2 4 3" xfId="281"/>
    <cellStyle name="Normal 2 4 3 2" xfId="282"/>
    <cellStyle name="Normal 2 4 3 3" xfId="283"/>
    <cellStyle name="Normal 2 4 4" xfId="284"/>
    <cellStyle name="Normal 2 4 5" xfId="285"/>
    <cellStyle name="Normal 2 4 6" xfId="286"/>
    <cellStyle name="Normal 2 4 7" xfId="287"/>
    <cellStyle name="Normal 2 4 8" xfId="288"/>
    <cellStyle name="Normal 2 4 9" xfId="289"/>
    <cellStyle name="Normal 2 5" xfId="290"/>
    <cellStyle name="Normal 2 5 10" xfId="291"/>
    <cellStyle name="Normal 2 5 11" xfId="292"/>
    <cellStyle name="Normal 2 5 12" xfId="293"/>
    <cellStyle name="Normal 2 5 12 2" xfId="294"/>
    <cellStyle name="Normal 2 5 12 3" xfId="295"/>
    <cellStyle name="Normal 2 5 2" xfId="296"/>
    <cellStyle name="Normal 2 5 2 2" xfId="297"/>
    <cellStyle name="Normal 2 5 3" xfId="298"/>
    <cellStyle name="Normal 2 5 3 2" xfId="299"/>
    <cellStyle name="Normal 2 5 4" xfId="300"/>
    <cellStyle name="Normal 2 5 5" xfId="301"/>
    <cellStyle name="Normal 2 5 6" xfId="302"/>
    <cellStyle name="Normal 2 5 7" xfId="303"/>
    <cellStyle name="Normal 2 5 8" xfId="304"/>
    <cellStyle name="Normal 2 5 9" xfId="305"/>
    <cellStyle name="Normal 2 6" xfId="306"/>
    <cellStyle name="Normal 2 6 10" xfId="307"/>
    <cellStyle name="Normal 2 6 11" xfId="308"/>
    <cellStyle name="Normal 2 6 12" xfId="309"/>
    <cellStyle name="Normal 2 6 2" xfId="310"/>
    <cellStyle name="Normal 2 6 2 2" xfId="311"/>
    <cellStyle name="Normal 2 6 3" xfId="312"/>
    <cellStyle name="Normal 2 6 3 2" xfId="313"/>
    <cellStyle name="Normal 2 6 4" xfId="314"/>
    <cellStyle name="Normal 2 6 5" xfId="315"/>
    <cellStyle name="Normal 2 6 6" xfId="316"/>
    <cellStyle name="Normal 2 6 7" xfId="317"/>
    <cellStyle name="Normal 2 6 8" xfId="318"/>
    <cellStyle name="Normal 2 6 9" xfId="319"/>
    <cellStyle name="Normal 2 7" xfId="320"/>
    <cellStyle name="Normal 2 7 10" xfId="321"/>
    <cellStyle name="Normal 2 7 11" xfId="322"/>
    <cellStyle name="Normal 2 7 2" xfId="323"/>
    <cellStyle name="Normal 2 7 2 2" xfId="324"/>
    <cellStyle name="Normal 2 7 2 3" xfId="325"/>
    <cellStyle name="Normal 2 7 3" xfId="326"/>
    <cellStyle name="Normal 2 7 3 2" xfId="327"/>
    <cellStyle name="Normal 2 7 4" xfId="328"/>
    <cellStyle name="Normal 2 7 4 2" xfId="329"/>
    <cellStyle name="Normal 2 7 5" xfId="330"/>
    <cellStyle name="Normal 2 7 5 2" xfId="331"/>
    <cellStyle name="Normal 2 7 6" xfId="332"/>
    <cellStyle name="Normal 2 7 6 2" xfId="333"/>
    <cellStyle name="Normal 2 7 7" xfId="334"/>
    <cellStyle name="Normal 2 7 7 2" xfId="335"/>
    <cellStyle name="Normal 2 7 8" xfId="336"/>
    <cellStyle name="Normal 2 7 8 2" xfId="337"/>
    <cellStyle name="Normal 2 7 9" xfId="338"/>
    <cellStyle name="Normal 2 8" xfId="339"/>
    <cellStyle name="Normal 2 8 10" xfId="340"/>
    <cellStyle name="Normal 2 8 11" xfId="341"/>
    <cellStyle name="Normal 2 8 2" xfId="342"/>
    <cellStyle name="Normal 2 8 2 2" xfId="343"/>
    <cellStyle name="Normal 2 8 3" xfId="344"/>
    <cellStyle name="Normal 2 8 3 2" xfId="345"/>
    <cellStyle name="Normal 2 8 4" xfId="346"/>
    <cellStyle name="Normal 2 8 4 2" xfId="347"/>
    <cellStyle name="Normal 2 8 5" xfId="348"/>
    <cellStyle name="Normal 2 8 5 2" xfId="349"/>
    <cellStyle name="Normal 2 8 6" xfId="350"/>
    <cellStyle name="Normal 2 8 6 2" xfId="351"/>
    <cellStyle name="Normal 2 8 7" xfId="352"/>
    <cellStyle name="Normal 2 8 7 2" xfId="353"/>
    <cellStyle name="Normal 2 8 8" xfId="354"/>
    <cellStyle name="Normal 2 8 8 2" xfId="355"/>
    <cellStyle name="Normal 2 8 9" xfId="356"/>
    <cellStyle name="Normal 2 9" xfId="357"/>
    <cellStyle name="Normal 2 9 10" xfId="358"/>
    <cellStyle name="Normal 2 9 11" xfId="359"/>
    <cellStyle name="Normal 2 9 2" xfId="360"/>
    <cellStyle name="Normal 2 9 2 2" xfId="361"/>
    <cellStyle name="Normal 2 9 3" xfId="362"/>
    <cellStyle name="Normal 2 9 3 2" xfId="363"/>
    <cellStyle name="Normal 2 9 4" xfId="364"/>
    <cellStyle name="Normal 2 9 4 2" xfId="365"/>
    <cellStyle name="Normal 2 9 5" xfId="366"/>
    <cellStyle name="Normal 2 9 5 2" xfId="367"/>
    <cellStyle name="Normal 2 9 6" xfId="368"/>
    <cellStyle name="Normal 2 9 6 2" xfId="369"/>
    <cellStyle name="Normal 2 9 7" xfId="370"/>
    <cellStyle name="Normal 2 9 7 2" xfId="371"/>
    <cellStyle name="Normal 2 9 8" xfId="372"/>
    <cellStyle name="Normal 2 9 8 2" xfId="373"/>
    <cellStyle name="Normal 2 9 9" xfId="374"/>
    <cellStyle name="Normal 20" xfId="375"/>
    <cellStyle name="Normal 20 2" xfId="376"/>
    <cellStyle name="Normal 20 3" xfId="377"/>
    <cellStyle name="Normal 21" xfId="378"/>
    <cellStyle name="Normal 21 2" xfId="379"/>
    <cellStyle name="Normal 21 2 2" xfId="380"/>
    <cellStyle name="Normal 21 2 3" xfId="381"/>
    <cellStyle name="Normal 21 3" xfId="382"/>
    <cellStyle name="Normal 21 4" xfId="383"/>
    <cellStyle name="Normal 21 5" xfId="384"/>
    <cellStyle name="Normal 22" xfId="385"/>
    <cellStyle name="Normal 22 2" xfId="386"/>
    <cellStyle name="Normal 22 3" xfId="387"/>
    <cellStyle name="Normal 23" xfId="388"/>
    <cellStyle name="Normal 23 2" xfId="389"/>
    <cellStyle name="Normal 23 3" xfId="390"/>
    <cellStyle name="Normal 24" xfId="391"/>
    <cellStyle name="Normal 24 2" xfId="392"/>
    <cellStyle name="Normal 24 3" xfId="393"/>
    <cellStyle name="Normal 25" xfId="394"/>
    <cellStyle name="Normal 25 2" xfId="395"/>
    <cellStyle name="Normal 25 3" xfId="396"/>
    <cellStyle name="Normal 26" xfId="397"/>
    <cellStyle name="Normal 27" xfId="398"/>
    <cellStyle name="Normal 27 2" xfId="399"/>
    <cellStyle name="Normal 3" xfId="400"/>
    <cellStyle name="Normal 3 10" xfId="401"/>
    <cellStyle name="Normal 3 10 2" xfId="402"/>
    <cellStyle name="Normal 3 11" xfId="403"/>
    <cellStyle name="Normal 3 12" xfId="404"/>
    <cellStyle name="Normal 3 13" xfId="405"/>
    <cellStyle name="Normal 3 14" xfId="406"/>
    <cellStyle name="Normal 3 15" xfId="407"/>
    <cellStyle name="Normal 3 2" xfId="408"/>
    <cellStyle name="Normal 3 2 2" xfId="409"/>
    <cellStyle name="Normal 3 2 2 2" xfId="410"/>
    <cellStyle name="Normal 3 2 2 3" xfId="411"/>
    <cellStyle name="Normal 3 2 3" xfId="412"/>
    <cellStyle name="Normal 3 2 4" xfId="413"/>
    <cellStyle name="Normal 3 2 5" xfId="414"/>
    <cellStyle name="Normal 3 3" xfId="415"/>
    <cellStyle name="Normal 3 3 2" xfId="416"/>
    <cellStyle name="Normal 3 3 2 2" xfId="417"/>
    <cellStyle name="Normal 3 3 2 3" xfId="418"/>
    <cellStyle name="Normal 3 3 3" xfId="419"/>
    <cellStyle name="Normal 3 3 4" xfId="420"/>
    <cellStyle name="Normal 3 4" xfId="421"/>
    <cellStyle name="Normal 3 5" xfId="422"/>
    <cellStyle name="Normal 3 6" xfId="423"/>
    <cellStyle name="Normal 3 7" xfId="424"/>
    <cellStyle name="Normal 3 7 2" xfId="425"/>
    <cellStyle name="Normal 3 7 3" xfId="426"/>
    <cellStyle name="Normal 3 8" xfId="427"/>
    <cellStyle name="Normal 3 8 2" xfId="428"/>
    <cellStyle name="Normal 3 8 3" xfId="429"/>
    <cellStyle name="Normal 3 9" xfId="430"/>
    <cellStyle name="Normal 3 9 2" xfId="431"/>
    <cellStyle name="Normal 3 9 3" xfId="432"/>
    <cellStyle name="Normal 4" xfId="433"/>
    <cellStyle name="Normal 4 10" xfId="434"/>
    <cellStyle name="Normal 4 11" xfId="435"/>
    <cellStyle name="Normal 4 12" xfId="436"/>
    <cellStyle name="Normal 4 13" xfId="437"/>
    <cellStyle name="Normal 4 2" xfId="438"/>
    <cellStyle name="Normal 4 2 2" xfId="439"/>
    <cellStyle name="Normal 4 2 2 2" xfId="440"/>
    <cellStyle name="Normal 4 2 2 3" xfId="441"/>
    <cellStyle name="Normal 4 2 2 3 2" xfId="442"/>
    <cellStyle name="Normal 4 2 3" xfId="443"/>
    <cellStyle name="Normal 4 2 4" xfId="444"/>
    <cellStyle name="Normal 4 2 5" xfId="445"/>
    <cellStyle name="Normal 4 3" xfId="446"/>
    <cellStyle name="Normal 4 3 2" xfId="447"/>
    <cellStyle name="Normal 4 3 3" xfId="448"/>
    <cellStyle name="Normal 4 4" xfId="449"/>
    <cellStyle name="Normal 4 5" xfId="450"/>
    <cellStyle name="Normal 4 5 2" xfId="451"/>
    <cellStyle name="Normal 4 5 3" xfId="452"/>
    <cellStyle name="Normal 4 6" xfId="453"/>
    <cellStyle name="Normal 4 6 2" xfId="454"/>
    <cellStyle name="Normal 4 6 3" xfId="455"/>
    <cellStyle name="Normal 4 7" xfId="456"/>
    <cellStyle name="Normal 4 8" xfId="457"/>
    <cellStyle name="Normal 4 9" xfId="458"/>
    <cellStyle name="Normal 5" xfId="459"/>
    <cellStyle name="Normal 5 2" xfId="460"/>
    <cellStyle name="Normal 5 3" xfId="461"/>
    <cellStyle name="Normal 5 3 2" xfId="462"/>
    <cellStyle name="Normal 5 3 3" xfId="463"/>
    <cellStyle name="Normal 5 4" xfId="464"/>
    <cellStyle name="Normal 5 5" xfId="465"/>
    <cellStyle name="Normal 5 5 2" xfId="466"/>
    <cellStyle name="Normal 5 5 3" xfId="467"/>
    <cellStyle name="Normal 5 6" xfId="468"/>
    <cellStyle name="Normal 5 7" xfId="511"/>
    <cellStyle name="Normal 6" xfId="469"/>
    <cellStyle name="Normal 6 2" xfId="470"/>
    <cellStyle name="Normal 6 3" xfId="471"/>
    <cellStyle name="Normal 6 4" xfId="472"/>
    <cellStyle name="Normal 6 5" xfId="473"/>
    <cellStyle name="Normal 7 2" xfId="474"/>
    <cellStyle name="Normal 7 2 2" xfId="475"/>
    <cellStyle name="Normal 7 2 2 2" xfId="476"/>
    <cellStyle name="Normal 7 2 2 3" xfId="477"/>
    <cellStyle name="Normal 7 2 3" xfId="478"/>
    <cellStyle name="Normal 7 2 4" xfId="479"/>
    <cellStyle name="Normal 7 2 4 2" xfId="480"/>
    <cellStyle name="Normal 7 2 4 3" xfId="481"/>
    <cellStyle name="Normal 7 2 5" xfId="482"/>
    <cellStyle name="Normal 7 3" xfId="483"/>
    <cellStyle name="Normal 7 4" xfId="484"/>
    <cellStyle name="Normal 7 4 2" xfId="485"/>
    <cellStyle name="Normal 7 4 3" xfId="486"/>
    <cellStyle name="Normal 7 5" xfId="487"/>
    <cellStyle name="Normal 7 5 2" xfId="488"/>
    <cellStyle name="Normal 7 5 3" xfId="489"/>
    <cellStyle name="Normal 7 5 4" xfId="490"/>
    <cellStyle name="Normal 7 5 5" xfId="491"/>
    <cellStyle name="Normal 7 6" xfId="492"/>
    <cellStyle name="Normal 7 7" xfId="493"/>
    <cellStyle name="Normal 8" xfId="494"/>
    <cellStyle name="Normal 8 2" xfId="495"/>
    <cellStyle name="Normal 8 3" xfId="496"/>
    <cellStyle name="Normal 9" xfId="497"/>
    <cellStyle name="Normal 9 2" xfId="498"/>
    <cellStyle name="Normal 9 2 2" xfId="499"/>
    <cellStyle name="Normal 9 2 3" xfId="500"/>
    <cellStyle name="Normal 9 3" xfId="501"/>
    <cellStyle name="Normal 9 4" xfId="502"/>
    <cellStyle name="Normal 9 5" xfId="503"/>
    <cellStyle name="Normal 9 5 2" xfId="504"/>
    <cellStyle name="Normal 9 5 3" xfId="505"/>
    <cellStyle name="Normal 9 6" xfId="506"/>
    <cellStyle name="Normal 9 6 2" xfId="507"/>
    <cellStyle name="Normal 9 6 3" xfId="508"/>
    <cellStyle name="Normal_debt" xfId="509"/>
    <cellStyle name="Normal_lpform" xfId="510"/>
  </cellStyles>
  <dxfs count="152">
    <dxf>
      <font>
        <b/>
        <i val="0"/>
        <strike val="0"/>
      </font>
      <fill>
        <patternFill>
          <bgColor rgb="FFFF0000"/>
        </patternFill>
      </fill>
    </dxf>
    <dxf>
      <font>
        <b/>
        <i val="0"/>
        <strike val="0"/>
      </font>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28575</xdr:rowOff>
    </xdr:from>
    <xdr:to>
      <xdr:col>1</xdr:col>
      <xdr:colOff>209550</xdr:colOff>
      <xdr:row>18</xdr:row>
      <xdr:rowOff>180975</xdr:rowOff>
    </xdr:to>
    <xdr:sp macro="" textlink="">
      <xdr:nvSpPr>
        <xdr:cNvPr id="2" name="Text Box 2">
          <a:extLst>
            <a:ext uri="{FF2B5EF4-FFF2-40B4-BE49-F238E27FC236}">
              <a16:creationId xmlns:a16="http://schemas.microsoft.com/office/drawing/2014/main" id="{EAE56B21-900F-4766-8864-9A97027D8D38}"/>
            </a:ext>
          </a:extLst>
        </xdr:cNvPr>
        <xdr:cNvSpPr txBox="1"/>
      </xdr:nvSpPr>
      <xdr:spPr>
        <a:xfrm>
          <a:off x="104775" y="5695950"/>
          <a:ext cx="209550" cy="152400"/>
        </a:xfrm>
        <a:prstGeom prst="rect">
          <a:avLst/>
        </a:prstGeom>
        <a:solidFill>
          <a:srgbClr val="00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1</xdr:col>
      <xdr:colOff>0</xdr:colOff>
      <xdr:row>20</xdr:row>
      <xdr:rowOff>57150</xdr:rowOff>
    </xdr:from>
    <xdr:to>
      <xdr:col>1</xdr:col>
      <xdr:colOff>209550</xdr:colOff>
      <xdr:row>20</xdr:row>
      <xdr:rowOff>209550</xdr:rowOff>
    </xdr:to>
    <xdr:sp macro="" textlink="">
      <xdr:nvSpPr>
        <xdr:cNvPr id="3" name="Text Box 5">
          <a:extLst>
            <a:ext uri="{FF2B5EF4-FFF2-40B4-BE49-F238E27FC236}">
              <a16:creationId xmlns:a16="http://schemas.microsoft.com/office/drawing/2014/main" id="{1EBCA960-829E-4247-9E57-A5E3E430C78D}"/>
            </a:ext>
          </a:extLst>
        </xdr:cNvPr>
        <xdr:cNvSpPr txBox="1">
          <a:spLocks noChangeArrowheads="1"/>
        </xdr:cNvSpPr>
      </xdr:nvSpPr>
      <xdr:spPr bwMode="auto">
        <a:xfrm>
          <a:off x="104775" y="6086475"/>
          <a:ext cx="209550" cy="152400"/>
        </a:xfrm>
        <a:prstGeom prst="rect">
          <a:avLst/>
        </a:prstGeom>
        <a:solidFill>
          <a:srgbClr val="FFF2CC"/>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a:t>
          </a:r>
        </a:p>
      </xdr:txBody>
    </xdr:sp>
    <xdr:clientData/>
  </xdr:twoCellAnchor>
  <xdr:twoCellAnchor>
    <xdr:from>
      <xdr:col>1</xdr:col>
      <xdr:colOff>0</xdr:colOff>
      <xdr:row>22</xdr:row>
      <xdr:rowOff>38100</xdr:rowOff>
    </xdr:from>
    <xdr:to>
      <xdr:col>1</xdr:col>
      <xdr:colOff>209550</xdr:colOff>
      <xdr:row>22</xdr:row>
      <xdr:rowOff>190500</xdr:rowOff>
    </xdr:to>
    <xdr:sp macro="" textlink="">
      <xdr:nvSpPr>
        <xdr:cNvPr id="4" name="Text Box 6">
          <a:extLst>
            <a:ext uri="{FF2B5EF4-FFF2-40B4-BE49-F238E27FC236}">
              <a16:creationId xmlns:a16="http://schemas.microsoft.com/office/drawing/2014/main" id="{14955E3A-2BA4-4221-9143-620188A0E5B6}"/>
            </a:ext>
          </a:extLst>
        </xdr:cNvPr>
        <xdr:cNvSpPr txBox="1"/>
      </xdr:nvSpPr>
      <xdr:spPr>
        <a:xfrm>
          <a:off x="104775" y="7086600"/>
          <a:ext cx="209550" cy="152400"/>
        </a:xfrm>
        <a:prstGeom prst="rect">
          <a:avLst/>
        </a:prstGeom>
        <a:solidFill>
          <a:srgbClr val="00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1</xdr:col>
      <xdr:colOff>0</xdr:colOff>
      <xdr:row>24</xdr:row>
      <xdr:rowOff>38100</xdr:rowOff>
    </xdr:from>
    <xdr:to>
      <xdr:col>1</xdr:col>
      <xdr:colOff>209550</xdr:colOff>
      <xdr:row>24</xdr:row>
      <xdr:rowOff>190500</xdr:rowOff>
    </xdr:to>
    <xdr:sp macro="" textlink="">
      <xdr:nvSpPr>
        <xdr:cNvPr id="5" name="Text Box 7">
          <a:extLst>
            <a:ext uri="{FF2B5EF4-FFF2-40B4-BE49-F238E27FC236}">
              <a16:creationId xmlns:a16="http://schemas.microsoft.com/office/drawing/2014/main" id="{C06EDA11-DD7D-43DE-A692-ED1D253F65A8}"/>
            </a:ext>
          </a:extLst>
        </xdr:cNvPr>
        <xdr:cNvSpPr txBox="1"/>
      </xdr:nvSpPr>
      <xdr:spPr>
        <a:xfrm>
          <a:off x="104775" y="7448550"/>
          <a:ext cx="209550" cy="152400"/>
        </a:xfrm>
        <a:prstGeom prst="rect">
          <a:avLst/>
        </a:prstGeom>
        <a:solidFill>
          <a:srgbClr val="FF00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17</xdr:row>
      <xdr:rowOff>182276</xdr:rowOff>
    </xdr:from>
    <xdr:to>
      <xdr:col>7</xdr:col>
      <xdr:colOff>47625</xdr:colOff>
      <xdr:row>32</xdr:row>
      <xdr:rowOff>9049</xdr:rowOff>
    </xdr:to>
    <xdr:pic>
      <xdr:nvPicPr>
        <xdr:cNvPr id="2" name="Picture 1">
          <a:extLst>
            <a:ext uri="{FF2B5EF4-FFF2-40B4-BE49-F238E27FC236}">
              <a16:creationId xmlns:a16="http://schemas.microsoft.com/office/drawing/2014/main" id="{00F947A7-2C2C-45D5-A36A-1CCD0F40A7D6}"/>
            </a:ext>
          </a:extLst>
        </xdr:cNvPr>
        <xdr:cNvPicPr>
          <a:picLocks noChangeAspect="1"/>
        </xdr:cNvPicPr>
      </xdr:nvPicPr>
      <xdr:blipFill>
        <a:blip xmlns:r="http://schemas.openxmlformats.org/officeDocument/2006/relationships" r:embed="rId1"/>
        <a:stretch>
          <a:fillRect/>
        </a:stretch>
      </xdr:blipFill>
      <xdr:spPr>
        <a:xfrm>
          <a:off x="180975" y="3249326"/>
          <a:ext cx="4657725" cy="2827148"/>
        </a:xfrm>
        <a:prstGeom prst="rect">
          <a:avLst/>
        </a:prstGeom>
      </xdr:spPr>
    </xdr:pic>
    <xdr:clientData/>
  </xdr:twoCellAnchor>
  <xdr:twoCellAnchor editAs="oneCell">
    <xdr:from>
      <xdr:col>7</xdr:col>
      <xdr:colOff>66675</xdr:colOff>
      <xdr:row>19</xdr:row>
      <xdr:rowOff>180975</xdr:rowOff>
    </xdr:from>
    <xdr:to>
      <xdr:col>13</xdr:col>
      <xdr:colOff>596228</xdr:colOff>
      <xdr:row>31</xdr:row>
      <xdr:rowOff>161925</xdr:rowOff>
    </xdr:to>
    <xdr:pic>
      <xdr:nvPicPr>
        <xdr:cNvPr id="3" name="Picture 2">
          <a:extLst>
            <a:ext uri="{FF2B5EF4-FFF2-40B4-BE49-F238E27FC236}">
              <a16:creationId xmlns:a16="http://schemas.microsoft.com/office/drawing/2014/main" id="{00D3E25C-39C9-4C14-9472-F201D464DDDC}"/>
            </a:ext>
          </a:extLst>
        </xdr:cNvPr>
        <xdr:cNvPicPr>
          <a:picLocks noChangeAspect="1"/>
        </xdr:cNvPicPr>
      </xdr:nvPicPr>
      <xdr:blipFill>
        <a:blip xmlns:r="http://schemas.openxmlformats.org/officeDocument/2006/relationships" r:embed="rId2"/>
        <a:stretch>
          <a:fillRect/>
        </a:stretch>
      </xdr:blipFill>
      <xdr:spPr>
        <a:xfrm>
          <a:off x="4857750" y="3648075"/>
          <a:ext cx="5101553" cy="2381250"/>
        </a:xfrm>
        <a:prstGeom prst="rect">
          <a:avLst/>
        </a:prstGeom>
      </xdr:spPr>
    </xdr:pic>
    <xdr:clientData/>
  </xdr:twoCellAnchor>
  <xdr:twoCellAnchor editAs="oneCell">
    <xdr:from>
      <xdr:col>0</xdr:col>
      <xdr:colOff>123826</xdr:colOff>
      <xdr:row>45</xdr:row>
      <xdr:rowOff>35479</xdr:rowOff>
    </xdr:from>
    <xdr:to>
      <xdr:col>6</xdr:col>
      <xdr:colOff>628651</xdr:colOff>
      <xdr:row>56</xdr:row>
      <xdr:rowOff>9246</xdr:rowOff>
    </xdr:to>
    <xdr:pic>
      <xdr:nvPicPr>
        <xdr:cNvPr id="4" name="Picture 3">
          <a:extLst>
            <a:ext uri="{FF2B5EF4-FFF2-40B4-BE49-F238E27FC236}">
              <a16:creationId xmlns:a16="http://schemas.microsoft.com/office/drawing/2014/main" id="{F092D9D6-C660-4551-8951-D61A3C5AD351}"/>
            </a:ext>
          </a:extLst>
        </xdr:cNvPr>
        <xdr:cNvPicPr>
          <a:picLocks noChangeAspect="1"/>
        </xdr:cNvPicPr>
      </xdr:nvPicPr>
      <xdr:blipFill>
        <a:blip xmlns:r="http://schemas.openxmlformats.org/officeDocument/2006/relationships" r:embed="rId3"/>
        <a:stretch>
          <a:fillRect/>
        </a:stretch>
      </xdr:blipFill>
      <xdr:spPr>
        <a:xfrm>
          <a:off x="123826" y="8703229"/>
          <a:ext cx="4533900" cy="2174042"/>
        </a:xfrm>
        <a:prstGeom prst="rect">
          <a:avLst/>
        </a:prstGeom>
      </xdr:spPr>
    </xdr:pic>
    <xdr:clientData/>
  </xdr:twoCellAnchor>
  <xdr:twoCellAnchor editAs="oneCell">
    <xdr:from>
      <xdr:col>7</xdr:col>
      <xdr:colOff>47626</xdr:colOff>
      <xdr:row>44</xdr:row>
      <xdr:rowOff>92161</xdr:rowOff>
    </xdr:from>
    <xdr:to>
      <xdr:col>13</xdr:col>
      <xdr:colOff>485776</xdr:colOff>
      <xdr:row>55</xdr:row>
      <xdr:rowOff>85725</xdr:rowOff>
    </xdr:to>
    <xdr:pic>
      <xdr:nvPicPr>
        <xdr:cNvPr id="5" name="Picture 4">
          <a:extLst>
            <a:ext uri="{FF2B5EF4-FFF2-40B4-BE49-F238E27FC236}">
              <a16:creationId xmlns:a16="http://schemas.microsoft.com/office/drawing/2014/main" id="{8C937E06-2507-4B4E-A291-753076CAB341}"/>
            </a:ext>
          </a:extLst>
        </xdr:cNvPr>
        <xdr:cNvPicPr>
          <a:picLocks noChangeAspect="1"/>
        </xdr:cNvPicPr>
      </xdr:nvPicPr>
      <xdr:blipFill>
        <a:blip xmlns:r="http://schemas.openxmlformats.org/officeDocument/2006/relationships" r:embed="rId4"/>
        <a:stretch>
          <a:fillRect/>
        </a:stretch>
      </xdr:blipFill>
      <xdr:spPr>
        <a:xfrm>
          <a:off x="4838701" y="8559886"/>
          <a:ext cx="5010150" cy="2193839"/>
        </a:xfrm>
        <a:prstGeom prst="rect">
          <a:avLst/>
        </a:prstGeom>
      </xdr:spPr>
    </xdr:pic>
    <xdr:clientData/>
  </xdr:twoCellAnchor>
  <xdr:twoCellAnchor editAs="oneCell">
    <xdr:from>
      <xdr:col>1</xdr:col>
      <xdr:colOff>9524</xdr:colOff>
      <xdr:row>84</xdr:row>
      <xdr:rowOff>65082</xdr:rowOff>
    </xdr:from>
    <xdr:to>
      <xdr:col>8</xdr:col>
      <xdr:colOff>666749</xdr:colOff>
      <xdr:row>108</xdr:row>
      <xdr:rowOff>104257</xdr:rowOff>
    </xdr:to>
    <xdr:pic>
      <xdr:nvPicPr>
        <xdr:cNvPr id="6" name="Picture 5">
          <a:extLst>
            <a:ext uri="{FF2B5EF4-FFF2-40B4-BE49-F238E27FC236}">
              <a16:creationId xmlns:a16="http://schemas.microsoft.com/office/drawing/2014/main" id="{6EB33ADD-9CEA-4EA9-A566-46C3398F6773}"/>
            </a:ext>
          </a:extLst>
        </xdr:cNvPr>
        <xdr:cNvPicPr>
          <a:picLocks noChangeAspect="1"/>
        </xdr:cNvPicPr>
      </xdr:nvPicPr>
      <xdr:blipFill>
        <a:blip xmlns:r="http://schemas.openxmlformats.org/officeDocument/2006/relationships" r:embed="rId5"/>
        <a:stretch>
          <a:fillRect/>
        </a:stretch>
      </xdr:blipFill>
      <xdr:spPr>
        <a:xfrm>
          <a:off x="304799" y="16295682"/>
          <a:ext cx="5915025" cy="4611175"/>
        </a:xfrm>
        <a:prstGeom prst="rect">
          <a:avLst/>
        </a:prstGeom>
      </xdr:spPr>
    </xdr:pic>
    <xdr:clientData/>
  </xdr:twoCellAnchor>
  <xdr:twoCellAnchor editAs="oneCell">
    <xdr:from>
      <xdr:col>1</xdr:col>
      <xdr:colOff>9525</xdr:colOff>
      <xdr:row>62</xdr:row>
      <xdr:rowOff>170419</xdr:rowOff>
    </xdr:from>
    <xdr:to>
      <xdr:col>8</xdr:col>
      <xdr:colOff>676275</xdr:colOff>
      <xdr:row>84</xdr:row>
      <xdr:rowOff>104305</xdr:rowOff>
    </xdr:to>
    <xdr:pic>
      <xdr:nvPicPr>
        <xdr:cNvPr id="7" name="Picture 6">
          <a:extLst>
            <a:ext uri="{FF2B5EF4-FFF2-40B4-BE49-F238E27FC236}">
              <a16:creationId xmlns:a16="http://schemas.microsoft.com/office/drawing/2014/main" id="{E75D05E8-0414-4879-80B7-626540B6FDA7}"/>
            </a:ext>
          </a:extLst>
        </xdr:cNvPr>
        <xdr:cNvPicPr>
          <a:picLocks noChangeAspect="1"/>
        </xdr:cNvPicPr>
      </xdr:nvPicPr>
      <xdr:blipFill>
        <a:blip xmlns:r="http://schemas.openxmlformats.org/officeDocument/2006/relationships" r:embed="rId6"/>
        <a:stretch>
          <a:fillRect/>
        </a:stretch>
      </xdr:blipFill>
      <xdr:spPr>
        <a:xfrm>
          <a:off x="304800" y="12152869"/>
          <a:ext cx="5924550" cy="4182036"/>
        </a:xfrm>
        <a:prstGeom prst="rect">
          <a:avLst/>
        </a:prstGeom>
      </xdr:spPr>
    </xdr:pic>
    <xdr:clientData/>
  </xdr:twoCellAnchor>
  <xdr:twoCellAnchor editAs="oneCell">
    <xdr:from>
      <xdr:col>1</xdr:col>
      <xdr:colOff>0</xdr:colOff>
      <xdr:row>108</xdr:row>
      <xdr:rowOff>104155</xdr:rowOff>
    </xdr:from>
    <xdr:to>
      <xdr:col>8</xdr:col>
      <xdr:colOff>666750</xdr:colOff>
      <xdr:row>140</xdr:row>
      <xdr:rowOff>123137</xdr:rowOff>
    </xdr:to>
    <xdr:pic>
      <xdr:nvPicPr>
        <xdr:cNvPr id="8" name="Picture 7">
          <a:extLst>
            <a:ext uri="{FF2B5EF4-FFF2-40B4-BE49-F238E27FC236}">
              <a16:creationId xmlns:a16="http://schemas.microsoft.com/office/drawing/2014/main" id="{BB82EF6B-ABD1-4221-B1B6-9FE7CD8D13FC}"/>
            </a:ext>
          </a:extLst>
        </xdr:cNvPr>
        <xdr:cNvPicPr>
          <a:picLocks noChangeAspect="1"/>
        </xdr:cNvPicPr>
      </xdr:nvPicPr>
      <xdr:blipFill>
        <a:blip xmlns:r="http://schemas.openxmlformats.org/officeDocument/2006/relationships" r:embed="rId7"/>
        <a:stretch>
          <a:fillRect/>
        </a:stretch>
      </xdr:blipFill>
      <xdr:spPr>
        <a:xfrm>
          <a:off x="295275" y="20906755"/>
          <a:ext cx="5924550" cy="6114982"/>
        </a:xfrm>
        <a:prstGeom prst="rect">
          <a:avLst/>
        </a:prstGeom>
      </xdr:spPr>
    </xdr:pic>
    <xdr:clientData/>
  </xdr:twoCellAnchor>
  <xdr:twoCellAnchor editAs="oneCell">
    <xdr:from>
      <xdr:col>0</xdr:col>
      <xdr:colOff>285749</xdr:colOff>
      <xdr:row>140</xdr:row>
      <xdr:rowOff>92320</xdr:rowOff>
    </xdr:from>
    <xdr:to>
      <xdr:col>8</xdr:col>
      <xdr:colOff>647699</xdr:colOff>
      <xdr:row>181</xdr:row>
      <xdr:rowOff>189608</xdr:rowOff>
    </xdr:to>
    <xdr:pic>
      <xdr:nvPicPr>
        <xdr:cNvPr id="9" name="Picture 8">
          <a:extLst>
            <a:ext uri="{FF2B5EF4-FFF2-40B4-BE49-F238E27FC236}">
              <a16:creationId xmlns:a16="http://schemas.microsoft.com/office/drawing/2014/main" id="{00D34B70-7CA6-48D3-A166-B0AF9C355F25}"/>
            </a:ext>
          </a:extLst>
        </xdr:cNvPr>
        <xdr:cNvPicPr>
          <a:picLocks noChangeAspect="1"/>
        </xdr:cNvPicPr>
      </xdr:nvPicPr>
      <xdr:blipFill>
        <a:blip xmlns:r="http://schemas.openxmlformats.org/officeDocument/2006/relationships" r:embed="rId8"/>
        <a:stretch>
          <a:fillRect/>
        </a:stretch>
      </xdr:blipFill>
      <xdr:spPr>
        <a:xfrm>
          <a:off x="285749" y="26990920"/>
          <a:ext cx="5915025" cy="7907788"/>
        </a:xfrm>
        <a:prstGeom prst="rect">
          <a:avLst/>
        </a:prstGeom>
      </xdr:spPr>
    </xdr:pic>
    <xdr:clientData/>
  </xdr:twoCellAnchor>
  <xdr:twoCellAnchor editAs="oneCell">
    <xdr:from>
      <xdr:col>1</xdr:col>
      <xdr:colOff>0</xdr:colOff>
      <xdr:row>181</xdr:row>
      <xdr:rowOff>165483</xdr:rowOff>
    </xdr:from>
    <xdr:to>
      <xdr:col>8</xdr:col>
      <xdr:colOff>657225</xdr:colOff>
      <xdr:row>212</xdr:row>
      <xdr:rowOff>37450</xdr:rowOff>
    </xdr:to>
    <xdr:pic>
      <xdr:nvPicPr>
        <xdr:cNvPr id="10" name="Picture 9">
          <a:extLst>
            <a:ext uri="{FF2B5EF4-FFF2-40B4-BE49-F238E27FC236}">
              <a16:creationId xmlns:a16="http://schemas.microsoft.com/office/drawing/2014/main" id="{B18AD0B2-5201-4349-A732-23811032E586}"/>
            </a:ext>
          </a:extLst>
        </xdr:cNvPr>
        <xdr:cNvPicPr>
          <a:picLocks noChangeAspect="1"/>
        </xdr:cNvPicPr>
      </xdr:nvPicPr>
      <xdr:blipFill>
        <a:blip xmlns:r="http://schemas.openxmlformats.org/officeDocument/2006/relationships" r:embed="rId9"/>
        <a:stretch>
          <a:fillRect/>
        </a:stretch>
      </xdr:blipFill>
      <xdr:spPr>
        <a:xfrm>
          <a:off x="295275" y="34874583"/>
          <a:ext cx="5915025" cy="57774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kansas-my.sharepoint.com/personal/stacy_jaramillo_doa_ks_gov/Documents/Desktop/City%20workbooks/City%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PrYr"/>
      <sheetName val="inputOth"/>
      <sheetName val="inputHearing"/>
      <sheetName val="CPA Summary"/>
      <sheetName val="Cert"/>
      <sheetName val="Mvalloc"/>
      <sheetName val="Transfers"/>
      <sheetName val="Transfer Statutes"/>
      <sheetName val="Debt"/>
      <sheetName val="LP Form"/>
      <sheetName val="Library Grant"/>
      <sheetName val="General"/>
      <sheetName val="General Detail"/>
      <sheetName val="DebtSvs-Library"/>
      <sheetName val="Levy Page 9"/>
      <sheetName val="Levy Page 10"/>
      <sheetName val="Spec Hwy"/>
      <sheetName val="No Levy Page 12"/>
      <sheetName val="No Levy Page 13"/>
      <sheetName val="Single No Levy Page 14"/>
      <sheetName val="Non-Budgeted Funds"/>
      <sheetName val="Non-Bud Fund Statutes"/>
      <sheetName val="Budget Hearing Notice"/>
      <sheetName val="Combined Rate-Bud Hearing Notic"/>
      <sheetName val="RNR Hearing Notice"/>
      <sheetName val="NR Rebate"/>
      <sheetName val="SAMPLE Notice to County Clerk"/>
      <sheetName val="SAMPLE Roll Call to Exceed RNR"/>
      <sheetName val="SAMPLE Resolution to Exceed RNR"/>
      <sheetName val="Tab A"/>
      <sheetName val="Tab B"/>
      <sheetName val="Tab C"/>
      <sheetName val="Tab D"/>
      <sheetName val="Tab E"/>
      <sheetName val="Budget Tools"/>
      <sheetName val="Legend"/>
    </sheetNames>
    <sheetDataSet>
      <sheetData sheetId="0"/>
      <sheetData sheetId="1">
        <row r="6">
          <cell r="C6">
            <v>2024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lice.Smith@ks.gov"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8.bin"/><Relationship Id="rId1" Type="http://schemas.openxmlformats.org/officeDocument/2006/relationships/hyperlink" Target="https://pooledmoneyinvestmentboard.com/"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B109"/>
  <sheetViews>
    <sheetView zoomScaleNormal="100" workbookViewId="0">
      <selection activeCell="C1" sqref="C1"/>
    </sheetView>
  </sheetViews>
  <sheetFormatPr defaultColWidth="8.88671875" defaultRowHeight="15.75" x14ac:dyDescent="0.2"/>
  <cols>
    <col min="1" max="1" width="1.21875" style="24" customWidth="1"/>
    <col min="2" max="2" width="84.6640625" style="25" customWidth="1"/>
    <col min="3" max="16384" width="8.88671875" style="24"/>
  </cols>
  <sheetData>
    <row r="1" spans="2:2" ht="39" customHeight="1" x14ac:dyDescent="0.2">
      <c r="B1" s="545" t="s">
        <v>571</v>
      </c>
    </row>
    <row r="2" spans="2:2" ht="12.95" customHeight="1" x14ac:dyDescent="0.2"/>
    <row r="3" spans="2:2" ht="34.5" customHeight="1" x14ac:dyDescent="0.2">
      <c r="B3" s="25" t="s">
        <v>551</v>
      </c>
    </row>
    <row r="4" spans="2:2" ht="12.95" customHeight="1" x14ac:dyDescent="0.2"/>
    <row r="5" spans="2:2" ht="66" customHeight="1" x14ac:dyDescent="0.2">
      <c r="B5" s="25" t="s">
        <v>572</v>
      </c>
    </row>
    <row r="6" spans="2:2" ht="14.45" customHeight="1" x14ac:dyDescent="0.2"/>
    <row r="7" spans="2:2" ht="25.5" customHeight="1" x14ac:dyDescent="0.2">
      <c r="B7" s="546" t="s">
        <v>573</v>
      </c>
    </row>
    <row r="8" spans="2:2" ht="12.95" customHeight="1" x14ac:dyDescent="0.2"/>
    <row r="9" spans="2:2" ht="50.25" x14ac:dyDescent="0.2">
      <c r="B9" s="25" t="s">
        <v>574</v>
      </c>
    </row>
    <row r="10" spans="2:2" ht="12.95" customHeight="1" x14ac:dyDescent="0.2"/>
    <row r="11" spans="2:2" ht="31.5" x14ac:dyDescent="0.2">
      <c r="B11" s="25" t="s">
        <v>575</v>
      </c>
    </row>
    <row r="12" spans="2:2" ht="15" customHeight="1" x14ac:dyDescent="0.2"/>
    <row r="13" spans="2:2" ht="25.5" customHeight="1" x14ac:dyDescent="0.2">
      <c r="B13" s="546" t="s">
        <v>576</v>
      </c>
    </row>
    <row r="14" spans="2:2" ht="12.95" customHeight="1" x14ac:dyDescent="0.2"/>
    <row r="15" spans="2:2" ht="39.75" customHeight="1" x14ac:dyDescent="0.2">
      <c r="B15" s="25" t="s">
        <v>577</v>
      </c>
    </row>
    <row r="16" spans="2:2" ht="12.95" customHeight="1" x14ac:dyDescent="0.2"/>
    <row r="17" spans="2:2" x14ac:dyDescent="0.2">
      <c r="B17" s="547" t="s">
        <v>578</v>
      </c>
    </row>
    <row r="18" spans="2:2" ht="12.95" customHeight="1" x14ac:dyDescent="0.2">
      <c r="B18" s="547"/>
    </row>
    <row r="19" spans="2:2" x14ac:dyDescent="0.2">
      <c r="B19" s="25" t="s">
        <v>579</v>
      </c>
    </row>
    <row r="20" spans="2:2" ht="12.95" customHeight="1" x14ac:dyDescent="0.2"/>
    <row r="21" spans="2:2" ht="67.5" customHeight="1" x14ac:dyDescent="0.2">
      <c r="B21" s="25" t="s">
        <v>580</v>
      </c>
    </row>
    <row r="22" spans="2:2" ht="12.95" customHeight="1" x14ac:dyDescent="0.2">
      <c r="B22" s="548"/>
    </row>
    <row r="23" spans="2:2" ht="15.75" customHeight="1" x14ac:dyDescent="0.2">
      <c r="B23" s="25" t="s">
        <v>581</v>
      </c>
    </row>
    <row r="24" spans="2:2" ht="12.95" customHeight="1" x14ac:dyDescent="0.2">
      <c r="B24" s="548"/>
    </row>
    <row r="25" spans="2:2" ht="15.75" customHeight="1" x14ac:dyDescent="0.2">
      <c r="B25" s="25" t="s">
        <v>582</v>
      </c>
    </row>
    <row r="26" spans="2:2" ht="12.95" customHeight="1" x14ac:dyDescent="0.2"/>
    <row r="27" spans="2:2" ht="49.5" customHeight="1" x14ac:dyDescent="0.2">
      <c r="B27" s="25" t="s">
        <v>583</v>
      </c>
    </row>
    <row r="28" spans="2:2" ht="12.95" customHeight="1" x14ac:dyDescent="0.2"/>
    <row r="29" spans="2:2" ht="25.5" customHeight="1" x14ac:dyDescent="0.2">
      <c r="B29" s="546" t="s">
        <v>584</v>
      </c>
    </row>
    <row r="30" spans="2:2" ht="12.95" customHeight="1" x14ac:dyDescent="0.2">
      <c r="B30" s="549"/>
    </row>
    <row r="31" spans="2:2" ht="50.25" customHeight="1" x14ac:dyDescent="0.2">
      <c r="B31" s="25" t="s">
        <v>585</v>
      </c>
    </row>
    <row r="32" spans="2:2" ht="12.95" customHeight="1" x14ac:dyDescent="0.2"/>
    <row r="33" spans="2:2" ht="49.5" customHeight="1" x14ac:dyDescent="0.2">
      <c r="B33" s="303" t="s">
        <v>586</v>
      </c>
    </row>
    <row r="34" spans="2:2" ht="39.75" customHeight="1" x14ac:dyDescent="0.2">
      <c r="B34" s="550" t="s">
        <v>587</v>
      </c>
    </row>
    <row r="35" spans="2:2" ht="60.75" customHeight="1" x14ac:dyDescent="0.2">
      <c r="B35" s="550" t="s">
        <v>588</v>
      </c>
    </row>
    <row r="36" spans="2:2" ht="61.5" customHeight="1" x14ac:dyDescent="0.2">
      <c r="B36" s="550" t="s">
        <v>589</v>
      </c>
    </row>
    <row r="37" spans="2:2" ht="41.25" customHeight="1" x14ac:dyDescent="0.2">
      <c r="B37" s="550" t="s">
        <v>590</v>
      </c>
    </row>
    <row r="38" spans="2:2" ht="12.95" customHeight="1" x14ac:dyDescent="0.2"/>
    <row r="39" spans="2:2" ht="52.5" customHeight="1" x14ac:dyDescent="0.2">
      <c r="B39" s="303" t="s">
        <v>591</v>
      </c>
    </row>
    <row r="40" spans="2:2" ht="27.75" customHeight="1" x14ac:dyDescent="0.2">
      <c r="B40" s="550" t="s">
        <v>592</v>
      </c>
    </row>
    <row r="41" spans="2:2" ht="57" customHeight="1" x14ac:dyDescent="0.2">
      <c r="B41" s="550" t="s">
        <v>593</v>
      </c>
    </row>
    <row r="42" spans="2:2" ht="105" customHeight="1" x14ac:dyDescent="0.2">
      <c r="B42" s="550" t="s">
        <v>594</v>
      </c>
    </row>
    <row r="43" spans="2:2" s="25" customFormat="1" ht="12.95" customHeight="1" x14ac:dyDescent="0.2"/>
    <row r="44" spans="2:2" ht="47.25" x14ac:dyDescent="0.2">
      <c r="B44" s="303" t="s">
        <v>595</v>
      </c>
    </row>
    <row r="45" spans="2:2" ht="66.75" customHeight="1" x14ac:dyDescent="0.2">
      <c r="B45" s="303" t="s">
        <v>596</v>
      </c>
    </row>
    <row r="46" spans="2:2" ht="72.75" customHeight="1" x14ac:dyDescent="0.2">
      <c r="B46" s="550" t="s">
        <v>597</v>
      </c>
    </row>
    <row r="47" spans="2:2" ht="108" customHeight="1" x14ac:dyDescent="0.2">
      <c r="B47" s="550" t="s">
        <v>598</v>
      </c>
    </row>
    <row r="48" spans="2:2" ht="95.25" customHeight="1" x14ac:dyDescent="0.2">
      <c r="B48" s="550" t="s">
        <v>599</v>
      </c>
    </row>
    <row r="49" spans="2:2" ht="12.95" customHeight="1" x14ac:dyDescent="0.2"/>
    <row r="50" spans="2:2" ht="47.25" x14ac:dyDescent="0.2">
      <c r="B50" s="303" t="s">
        <v>600</v>
      </c>
    </row>
    <row r="51" spans="2:2" ht="38.25" customHeight="1" x14ac:dyDescent="0.2">
      <c r="B51" s="550" t="s">
        <v>601</v>
      </c>
    </row>
    <row r="52" spans="2:2" ht="34.5" customHeight="1" x14ac:dyDescent="0.2">
      <c r="B52" s="550" t="s">
        <v>602</v>
      </c>
    </row>
    <row r="53" spans="2:2" ht="12.95" customHeight="1" x14ac:dyDescent="0.2"/>
    <row r="54" spans="2:2" ht="71.25" customHeight="1" x14ac:dyDescent="0.2">
      <c r="B54" s="303" t="s">
        <v>603</v>
      </c>
    </row>
    <row r="55" spans="2:2" ht="21.75" customHeight="1" x14ac:dyDescent="0.2">
      <c r="B55" s="550" t="s">
        <v>604</v>
      </c>
    </row>
    <row r="56" spans="2:2" ht="12.95" customHeight="1" x14ac:dyDescent="0.2">
      <c r="B56" s="551"/>
    </row>
    <row r="57" spans="2:2" ht="57.75" customHeight="1" x14ac:dyDescent="0.2">
      <c r="B57" s="303" t="s">
        <v>605</v>
      </c>
    </row>
    <row r="58" spans="2:2" ht="41.25" customHeight="1" x14ac:dyDescent="0.2">
      <c r="B58" s="550" t="s">
        <v>606</v>
      </c>
    </row>
    <row r="59" spans="2:2" ht="72" customHeight="1" x14ac:dyDescent="0.2">
      <c r="B59" s="550" t="s">
        <v>607</v>
      </c>
    </row>
    <row r="60" spans="2:2" ht="27" customHeight="1" x14ac:dyDescent="0.2">
      <c r="B60" s="550" t="s">
        <v>608</v>
      </c>
    </row>
    <row r="61" spans="2:2" ht="44.25" customHeight="1" x14ac:dyDescent="0.2">
      <c r="B61" s="550" t="s">
        <v>609</v>
      </c>
    </row>
    <row r="62" spans="2:2" ht="12.95" customHeight="1" x14ac:dyDescent="0.2"/>
    <row r="63" spans="2:2" ht="38.25" customHeight="1" x14ac:dyDescent="0.2">
      <c r="B63" s="303" t="s">
        <v>610</v>
      </c>
    </row>
    <row r="64" spans="2:2" s="552" customFormat="1" ht="30.75" customHeight="1" x14ac:dyDescent="0.2">
      <c r="B64" s="550" t="s">
        <v>611</v>
      </c>
    </row>
    <row r="65" spans="2:2" ht="12.95" customHeight="1" x14ac:dyDescent="0.2"/>
    <row r="66" spans="2:2" ht="52.5" customHeight="1" x14ac:dyDescent="0.2">
      <c r="B66" s="303" t="s">
        <v>612</v>
      </c>
    </row>
    <row r="67" spans="2:2" s="552" customFormat="1" ht="39.75" customHeight="1" x14ac:dyDescent="0.2">
      <c r="B67" s="550" t="s">
        <v>613</v>
      </c>
    </row>
    <row r="68" spans="2:2" ht="12.95" customHeight="1" x14ac:dyDescent="0.2"/>
    <row r="69" spans="2:2" ht="68.25" customHeight="1" x14ac:dyDescent="0.2">
      <c r="B69" s="303" t="s">
        <v>614</v>
      </c>
    </row>
    <row r="70" spans="2:2" ht="57" customHeight="1" x14ac:dyDescent="0.2">
      <c r="B70" s="550" t="s">
        <v>615</v>
      </c>
    </row>
    <row r="71" spans="2:2" ht="44.25" customHeight="1" x14ac:dyDescent="0.2">
      <c r="B71" s="550" t="s">
        <v>616</v>
      </c>
    </row>
    <row r="72" spans="2:2" ht="12.95" customHeight="1" x14ac:dyDescent="0.2"/>
    <row r="73" spans="2:2" ht="78.75" x14ac:dyDescent="0.2">
      <c r="B73" s="303" t="s">
        <v>617</v>
      </c>
    </row>
    <row r="74" spans="2:2" ht="72.75" customHeight="1" x14ac:dyDescent="0.2">
      <c r="B74" s="550" t="s">
        <v>618</v>
      </c>
    </row>
    <row r="75" spans="2:2" ht="90" customHeight="1" x14ac:dyDescent="0.2">
      <c r="B75" s="550" t="s">
        <v>619</v>
      </c>
    </row>
    <row r="76" spans="2:2" ht="70.5" customHeight="1" x14ac:dyDescent="0.2">
      <c r="B76" s="550" t="s">
        <v>620</v>
      </c>
    </row>
    <row r="77" spans="2:2" ht="87" customHeight="1" x14ac:dyDescent="0.2">
      <c r="B77" s="550" t="s">
        <v>621</v>
      </c>
    </row>
    <row r="78" spans="2:2" ht="110.25" x14ac:dyDescent="0.2">
      <c r="B78" s="550" t="s">
        <v>622</v>
      </c>
    </row>
    <row r="79" spans="2:2" ht="55.5" customHeight="1" x14ac:dyDescent="0.2">
      <c r="B79" s="550" t="s">
        <v>623</v>
      </c>
    </row>
    <row r="80" spans="2:2" ht="96.75" customHeight="1" x14ac:dyDescent="0.2">
      <c r="B80" s="550" t="s">
        <v>624</v>
      </c>
    </row>
    <row r="81" spans="2:2" ht="111.75" customHeight="1" x14ac:dyDescent="0.2">
      <c r="B81" s="550" t="s">
        <v>625</v>
      </c>
    </row>
    <row r="82" spans="2:2" ht="123.75" customHeight="1" x14ac:dyDescent="0.2">
      <c r="B82" s="550" t="s">
        <v>626</v>
      </c>
    </row>
    <row r="83" spans="2:2" ht="26.25" customHeight="1" x14ac:dyDescent="0.2">
      <c r="B83" s="550" t="s">
        <v>627</v>
      </c>
    </row>
    <row r="84" spans="2:2" ht="57.75" customHeight="1" x14ac:dyDescent="0.2">
      <c r="B84" s="550" t="s">
        <v>628</v>
      </c>
    </row>
    <row r="85" spans="2:2" ht="57.75" customHeight="1" x14ac:dyDescent="0.2">
      <c r="B85" s="550" t="s">
        <v>629</v>
      </c>
    </row>
    <row r="86" spans="2:2" ht="91.5" customHeight="1" x14ac:dyDescent="0.2">
      <c r="B86" s="550" t="s">
        <v>630</v>
      </c>
    </row>
    <row r="87" spans="2:2" ht="75" customHeight="1" x14ac:dyDescent="0.2">
      <c r="B87" s="550" t="s">
        <v>631</v>
      </c>
    </row>
    <row r="88" spans="2:2" ht="69" customHeight="1" x14ac:dyDescent="0.2">
      <c r="B88" s="550" t="s">
        <v>632</v>
      </c>
    </row>
    <row r="89" spans="2:2" ht="39" customHeight="1" x14ac:dyDescent="0.2">
      <c r="B89" s="550" t="s">
        <v>633</v>
      </c>
    </row>
    <row r="90" spans="2:2" ht="12.95" customHeight="1" x14ac:dyDescent="0.2"/>
    <row r="91" spans="2:2" ht="63" x14ac:dyDescent="0.2">
      <c r="B91" s="303" t="s">
        <v>634</v>
      </c>
    </row>
    <row r="92" spans="2:2" ht="75.75" customHeight="1" x14ac:dyDescent="0.2">
      <c r="B92" s="550" t="s">
        <v>635</v>
      </c>
    </row>
    <row r="93" spans="2:2" ht="23.25" customHeight="1" x14ac:dyDescent="0.2">
      <c r="B93" s="550" t="s">
        <v>636</v>
      </c>
    </row>
    <row r="94" spans="2:2" ht="27" customHeight="1" x14ac:dyDescent="0.2">
      <c r="B94" s="550" t="s">
        <v>637</v>
      </c>
    </row>
    <row r="95" spans="2:2" ht="42" customHeight="1" x14ac:dyDescent="0.2">
      <c r="B95" s="553" t="s">
        <v>638</v>
      </c>
    </row>
    <row r="96" spans="2:2" ht="108" customHeight="1" x14ac:dyDescent="0.2">
      <c r="B96" s="553" t="s">
        <v>639</v>
      </c>
    </row>
    <row r="97" spans="2:2" ht="88.5" customHeight="1" x14ac:dyDescent="0.2">
      <c r="B97" s="553" t="s">
        <v>640</v>
      </c>
    </row>
    <row r="98" spans="2:2" ht="98.25" customHeight="1" x14ac:dyDescent="0.2">
      <c r="B98" s="550" t="s">
        <v>641</v>
      </c>
    </row>
    <row r="99" spans="2:2" ht="68.25" customHeight="1" x14ac:dyDescent="0.2">
      <c r="B99" s="550" t="s">
        <v>642</v>
      </c>
    </row>
    <row r="100" spans="2:2" ht="12.95" customHeight="1" x14ac:dyDescent="0.2"/>
    <row r="101" spans="2:2" ht="94.5" x14ac:dyDescent="0.2">
      <c r="B101" s="303" t="s">
        <v>643</v>
      </c>
    </row>
    <row r="102" spans="2:2" ht="78.75" x14ac:dyDescent="0.2">
      <c r="B102" s="554" t="s">
        <v>644</v>
      </c>
    </row>
    <row r="103" spans="2:2" ht="63" x14ac:dyDescent="0.2">
      <c r="B103" s="550" t="s">
        <v>645</v>
      </c>
    </row>
    <row r="104" spans="2:2" ht="39.75" customHeight="1" x14ac:dyDescent="0.2">
      <c r="B104" s="550" t="s">
        <v>646</v>
      </c>
    </row>
    <row r="105" spans="2:2" ht="12.95" customHeight="1" x14ac:dyDescent="0.2">
      <c r="B105" s="24"/>
    </row>
    <row r="106" spans="2:2" ht="47.25" x14ac:dyDescent="0.2">
      <c r="B106" s="303" t="s">
        <v>647</v>
      </c>
    </row>
    <row r="107" spans="2:2" ht="12.95" customHeight="1" x14ac:dyDescent="0.2">
      <c r="B107" s="24"/>
    </row>
    <row r="108" spans="2:2" ht="47.25" x14ac:dyDescent="0.2">
      <c r="B108" s="303" t="s">
        <v>648</v>
      </c>
    </row>
    <row r="109" spans="2:2" x14ac:dyDescent="0.2">
      <c r="B109" s="24"/>
    </row>
  </sheetData>
  <sheetProtection sheet="1" objects="1" scenarios="1"/>
  <pageMargins left="0.5" right="0.5" top="0.25" bottom="0.5" header="0.5" footer="0.25"/>
  <pageSetup scale="85" fitToHeight="2"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C48"/>
  <sheetViews>
    <sheetView zoomScale="75" workbookViewId="0">
      <selection activeCell="B17" sqref="B17"/>
    </sheetView>
  </sheetViews>
  <sheetFormatPr defaultColWidth="8.88671875" defaultRowHeight="15.75" x14ac:dyDescent="0.2"/>
  <cols>
    <col min="1" max="1" width="4.77734375" style="26" customWidth="1"/>
    <col min="2" max="2" width="20.77734375" style="26" customWidth="1"/>
    <col min="3" max="3" width="9.33203125" style="26" customWidth="1"/>
    <col min="4" max="4" width="8.6640625" style="26" customWidth="1"/>
    <col min="5" max="5" width="8.77734375" style="26" customWidth="1"/>
    <col min="6" max="6" width="12.77734375" style="26" customWidth="1"/>
    <col min="7" max="7" width="14.33203125" style="26" customWidth="1"/>
    <col min="8" max="13" width="9.77734375" style="26" customWidth="1"/>
    <col min="14" max="16384" width="8.88671875" style="26"/>
  </cols>
  <sheetData>
    <row r="1" spans="2:13" x14ac:dyDescent="0.2">
      <c r="B1" s="47" t="str">
        <f>inputPrYr!$D$3</f>
        <v>Wellsville</v>
      </c>
      <c r="C1" s="28"/>
      <c r="D1" s="28"/>
      <c r="E1" s="28"/>
      <c r="F1" s="28"/>
      <c r="G1" s="28"/>
      <c r="H1" s="28"/>
      <c r="I1" s="28"/>
      <c r="J1" s="28"/>
      <c r="K1" s="28"/>
      <c r="L1" s="28"/>
      <c r="M1" s="133">
        <f>inputPrYr!$C$6</f>
        <v>2024</v>
      </c>
    </row>
    <row r="2" spans="2:13" x14ac:dyDescent="0.2">
      <c r="B2" s="47"/>
      <c r="C2" s="28"/>
      <c r="D2" s="28"/>
      <c r="E2" s="28"/>
      <c r="F2" s="28"/>
      <c r="G2" s="28"/>
      <c r="H2" s="28"/>
      <c r="I2" s="28"/>
      <c r="J2" s="28"/>
      <c r="K2" s="28"/>
      <c r="L2" s="28"/>
      <c r="M2" s="107"/>
    </row>
    <row r="3" spans="2:13" x14ac:dyDescent="0.2">
      <c r="B3" s="134" t="s">
        <v>125</v>
      </c>
      <c r="C3" s="33"/>
      <c r="D3" s="33"/>
      <c r="E3" s="33"/>
      <c r="F3" s="33"/>
      <c r="G3" s="33"/>
      <c r="H3" s="33"/>
      <c r="I3" s="33"/>
      <c r="J3" s="33"/>
      <c r="K3" s="33"/>
      <c r="L3" s="33"/>
      <c r="M3" s="33"/>
    </row>
    <row r="4" spans="2:13" ht="10.5" customHeight="1" x14ac:dyDescent="0.2">
      <c r="B4" s="28"/>
      <c r="C4" s="135"/>
      <c r="D4" s="135"/>
      <c r="E4" s="135"/>
      <c r="F4" s="135"/>
      <c r="G4" s="135"/>
      <c r="H4" s="135"/>
      <c r="I4" s="135"/>
      <c r="J4" s="135"/>
      <c r="K4" s="135"/>
      <c r="L4" s="135"/>
      <c r="M4" s="135"/>
    </row>
    <row r="5" spans="2:13" ht="18" customHeight="1" x14ac:dyDescent="0.2">
      <c r="B5" s="95"/>
      <c r="C5" s="114" t="s">
        <v>95</v>
      </c>
      <c r="D5" s="114" t="s">
        <v>95</v>
      </c>
      <c r="E5" s="114" t="s">
        <v>109</v>
      </c>
      <c r="F5" s="114"/>
      <c r="G5" s="114" t="s">
        <v>175</v>
      </c>
      <c r="H5" s="28"/>
      <c r="I5" s="28"/>
      <c r="J5" s="136" t="s">
        <v>96</v>
      </c>
      <c r="K5" s="137"/>
      <c r="L5" s="136" t="s">
        <v>96</v>
      </c>
      <c r="M5" s="137"/>
    </row>
    <row r="6" spans="2:13" x14ac:dyDescent="0.2">
      <c r="B6" s="89" t="s">
        <v>414</v>
      </c>
      <c r="C6" s="89" t="s">
        <v>97</v>
      </c>
      <c r="D6" s="89" t="s">
        <v>176</v>
      </c>
      <c r="E6" s="89" t="s">
        <v>98</v>
      </c>
      <c r="F6" s="89" t="s">
        <v>53</v>
      </c>
      <c r="G6" s="89" t="s">
        <v>177</v>
      </c>
      <c r="H6" s="682" t="s">
        <v>99</v>
      </c>
      <c r="I6" s="683"/>
      <c r="J6" s="684">
        <f>M1-1</f>
        <v>2023</v>
      </c>
      <c r="K6" s="685"/>
      <c r="L6" s="684">
        <f>M1</f>
        <v>2024</v>
      </c>
      <c r="M6" s="685"/>
    </row>
    <row r="7" spans="2:13" x14ac:dyDescent="0.2">
      <c r="B7" s="92" t="s">
        <v>413</v>
      </c>
      <c r="C7" s="92" t="s">
        <v>100</v>
      </c>
      <c r="D7" s="92" t="s">
        <v>178</v>
      </c>
      <c r="E7" s="92" t="s">
        <v>77</v>
      </c>
      <c r="F7" s="92" t="s">
        <v>101</v>
      </c>
      <c r="G7" s="138" t="str">
        <f>CONCATENATE("Jan 1, ",M1-1,"")</f>
        <v>Jan 1, 2023</v>
      </c>
      <c r="H7" s="99" t="s">
        <v>109</v>
      </c>
      <c r="I7" s="99" t="s">
        <v>111</v>
      </c>
      <c r="J7" s="99" t="s">
        <v>109</v>
      </c>
      <c r="K7" s="99" t="s">
        <v>111</v>
      </c>
      <c r="L7" s="99" t="s">
        <v>109</v>
      </c>
      <c r="M7" s="99" t="s">
        <v>111</v>
      </c>
    </row>
    <row r="8" spans="2:13" x14ac:dyDescent="0.2">
      <c r="B8" s="139" t="s">
        <v>102</v>
      </c>
      <c r="C8" s="38"/>
      <c r="D8" s="38"/>
      <c r="E8" s="140"/>
      <c r="F8" s="141"/>
      <c r="G8" s="141"/>
      <c r="H8" s="38"/>
      <c r="I8" s="38"/>
      <c r="J8" s="141"/>
      <c r="K8" s="141"/>
      <c r="L8" s="141"/>
      <c r="M8" s="141"/>
    </row>
    <row r="9" spans="2:13" x14ac:dyDescent="0.2">
      <c r="B9" s="41"/>
      <c r="C9" s="251"/>
      <c r="D9" s="251"/>
      <c r="E9" s="142"/>
      <c r="F9" s="143"/>
      <c r="G9" s="144"/>
      <c r="H9" s="145"/>
      <c r="I9" s="145"/>
      <c r="J9" s="144"/>
      <c r="K9" s="144"/>
      <c r="L9" s="144"/>
      <c r="M9" s="144"/>
    </row>
    <row r="10" spans="2:13" x14ac:dyDescent="0.2">
      <c r="B10" s="41" t="s">
        <v>1028</v>
      </c>
      <c r="C10" s="251">
        <v>43424</v>
      </c>
      <c r="D10" s="251" t="s">
        <v>1029</v>
      </c>
      <c r="E10" s="142">
        <v>3.95</v>
      </c>
      <c r="F10" s="143">
        <v>1940000</v>
      </c>
      <c r="G10" s="144">
        <v>1725000</v>
      </c>
      <c r="H10" s="145">
        <v>43617</v>
      </c>
      <c r="I10" s="145">
        <v>43800</v>
      </c>
      <c r="J10" s="144"/>
      <c r="K10" s="144"/>
      <c r="L10" s="144"/>
      <c r="M10" s="144"/>
    </row>
    <row r="11" spans="2:13" x14ac:dyDescent="0.2">
      <c r="B11" s="41"/>
      <c r="C11" s="251"/>
      <c r="D11" s="251"/>
      <c r="E11" s="142"/>
      <c r="F11" s="143"/>
      <c r="G11" s="144"/>
      <c r="H11" s="145"/>
      <c r="I11" s="145"/>
      <c r="J11" s="144"/>
      <c r="K11" s="144"/>
      <c r="L11" s="144"/>
      <c r="M11" s="144"/>
    </row>
    <row r="12" spans="2:13" x14ac:dyDescent="0.2">
      <c r="B12" s="41"/>
      <c r="C12" s="251"/>
      <c r="D12" s="251"/>
      <c r="E12" s="142"/>
      <c r="F12" s="143"/>
      <c r="G12" s="144"/>
      <c r="H12" s="145"/>
      <c r="I12" s="145"/>
      <c r="J12" s="144"/>
      <c r="K12" s="144"/>
      <c r="L12" s="144"/>
      <c r="M12" s="144"/>
    </row>
    <row r="13" spans="2:13" x14ac:dyDescent="0.2">
      <c r="B13" s="41"/>
      <c r="C13" s="251"/>
      <c r="D13" s="251"/>
      <c r="E13" s="142"/>
      <c r="F13" s="143"/>
      <c r="G13" s="144"/>
      <c r="H13" s="145"/>
      <c r="I13" s="145"/>
      <c r="J13" s="144"/>
      <c r="K13" s="144"/>
      <c r="L13" s="144"/>
      <c r="M13" s="144"/>
    </row>
    <row r="14" spans="2:13" x14ac:dyDescent="0.2">
      <c r="B14" s="41"/>
      <c r="C14" s="251"/>
      <c r="D14" s="251"/>
      <c r="E14" s="142"/>
      <c r="F14" s="143"/>
      <c r="G14" s="144"/>
      <c r="H14" s="145"/>
      <c r="I14" s="145"/>
      <c r="J14" s="144"/>
      <c r="K14" s="144"/>
      <c r="L14" s="144"/>
      <c r="M14" s="144"/>
    </row>
    <row r="15" spans="2:13" x14ac:dyDescent="0.2">
      <c r="B15" s="41"/>
      <c r="C15" s="251"/>
      <c r="D15" s="251"/>
      <c r="E15" s="142"/>
      <c r="F15" s="143"/>
      <c r="G15" s="144"/>
      <c r="H15" s="145"/>
      <c r="I15" s="145"/>
      <c r="J15" s="144"/>
      <c r="K15" s="144"/>
      <c r="L15" s="144"/>
      <c r="M15" s="144"/>
    </row>
    <row r="16" spans="2:13" x14ac:dyDescent="0.2">
      <c r="B16" s="41"/>
      <c r="C16" s="251"/>
      <c r="D16" s="251"/>
      <c r="E16" s="142"/>
      <c r="F16" s="143"/>
      <c r="G16" s="144"/>
      <c r="H16" s="145"/>
      <c r="I16" s="145"/>
      <c r="J16" s="144"/>
      <c r="K16" s="144"/>
      <c r="L16" s="144"/>
      <c r="M16" s="144"/>
    </row>
    <row r="17" spans="2:13" x14ac:dyDescent="0.2">
      <c r="B17" s="41"/>
      <c r="C17" s="251"/>
      <c r="D17" s="251"/>
      <c r="E17" s="142"/>
      <c r="F17" s="143"/>
      <c r="G17" s="144"/>
      <c r="H17" s="145"/>
      <c r="I17" s="145"/>
      <c r="J17" s="144"/>
      <c r="K17" s="144"/>
      <c r="L17" s="144"/>
      <c r="M17" s="144"/>
    </row>
    <row r="18" spans="2:13" x14ac:dyDescent="0.2">
      <c r="B18" s="41"/>
      <c r="C18" s="251"/>
      <c r="D18" s="251"/>
      <c r="E18" s="142"/>
      <c r="F18" s="143"/>
      <c r="G18" s="144"/>
      <c r="H18" s="145"/>
      <c r="I18" s="145"/>
      <c r="J18" s="144"/>
      <c r="K18" s="144"/>
      <c r="L18" s="144"/>
      <c r="M18" s="144"/>
    </row>
    <row r="19" spans="2:13" x14ac:dyDescent="0.2">
      <c r="B19" s="41"/>
      <c r="C19" s="251"/>
      <c r="D19" s="251"/>
      <c r="E19" s="142"/>
      <c r="F19" s="143"/>
      <c r="G19" s="144"/>
      <c r="H19" s="145"/>
      <c r="I19" s="145"/>
      <c r="J19" s="144"/>
      <c r="K19" s="144"/>
      <c r="L19" s="144"/>
      <c r="M19" s="144"/>
    </row>
    <row r="20" spans="2:13" x14ac:dyDescent="0.2">
      <c r="B20" s="146" t="s">
        <v>103</v>
      </c>
      <c r="C20" s="147"/>
      <c r="D20" s="147"/>
      <c r="E20" s="148"/>
      <c r="F20" s="149"/>
      <c r="G20" s="150">
        <f>SUM(G9:G19)</f>
        <v>1725000</v>
      </c>
      <c r="H20" s="151"/>
      <c r="I20" s="151"/>
      <c r="J20" s="150">
        <f>SUM(J9:J19)</f>
        <v>0</v>
      </c>
      <c r="K20" s="150">
        <f>SUM(K9:K19)</f>
        <v>0</v>
      </c>
      <c r="L20" s="150">
        <f>SUM(L9:L19)</f>
        <v>0</v>
      </c>
      <c r="M20" s="150">
        <f>SUM(M9:M19)</f>
        <v>0</v>
      </c>
    </row>
    <row r="21" spans="2:13" x14ac:dyDescent="0.2">
      <c r="B21" s="139" t="s">
        <v>104</v>
      </c>
      <c r="C21" s="152"/>
      <c r="D21" s="152"/>
      <c r="E21" s="153"/>
      <c r="F21" s="154"/>
      <c r="G21" s="154"/>
      <c r="H21" s="155"/>
      <c r="I21" s="155"/>
      <c r="J21" s="154"/>
      <c r="K21" s="154"/>
      <c r="L21" s="154"/>
      <c r="M21" s="154"/>
    </row>
    <row r="22" spans="2:13" x14ac:dyDescent="0.2">
      <c r="B22" s="41"/>
      <c r="C22" s="251"/>
      <c r="D22" s="251"/>
      <c r="E22" s="142"/>
      <c r="F22" s="143"/>
      <c r="G22" s="144"/>
      <c r="H22" s="145"/>
      <c r="I22" s="145"/>
      <c r="J22" s="144"/>
      <c r="K22" s="144"/>
      <c r="L22" s="144"/>
      <c r="M22" s="144"/>
    </row>
    <row r="23" spans="2:13" x14ac:dyDescent="0.2">
      <c r="B23" s="41"/>
      <c r="C23" s="251"/>
      <c r="D23" s="251"/>
      <c r="E23" s="142"/>
      <c r="F23" s="143"/>
      <c r="G23" s="144"/>
      <c r="H23" s="145"/>
      <c r="I23" s="145"/>
      <c r="J23" s="144"/>
      <c r="K23" s="144"/>
      <c r="L23" s="144"/>
      <c r="M23" s="144"/>
    </row>
    <row r="24" spans="2:13" x14ac:dyDescent="0.2">
      <c r="B24" s="41"/>
      <c r="C24" s="251"/>
      <c r="D24" s="251"/>
      <c r="E24" s="142"/>
      <c r="F24" s="143"/>
      <c r="G24" s="144"/>
      <c r="H24" s="145"/>
      <c r="I24" s="145"/>
      <c r="J24" s="144"/>
      <c r="K24" s="144"/>
      <c r="L24" s="144"/>
      <c r="M24" s="144"/>
    </row>
    <row r="25" spans="2:13" x14ac:dyDescent="0.2">
      <c r="B25" s="41"/>
      <c r="C25" s="251"/>
      <c r="D25" s="251"/>
      <c r="E25" s="142"/>
      <c r="F25" s="143"/>
      <c r="G25" s="144"/>
      <c r="H25" s="145"/>
      <c r="I25" s="145"/>
      <c r="J25" s="144"/>
      <c r="K25" s="144"/>
      <c r="L25" s="144"/>
      <c r="M25" s="144"/>
    </row>
    <row r="26" spans="2:13" x14ac:dyDescent="0.2">
      <c r="B26" s="41"/>
      <c r="C26" s="251"/>
      <c r="D26" s="251"/>
      <c r="E26" s="142"/>
      <c r="F26" s="143"/>
      <c r="G26" s="144"/>
      <c r="H26" s="145"/>
      <c r="I26" s="145"/>
      <c r="J26" s="144"/>
      <c r="K26" s="144"/>
      <c r="L26" s="144"/>
      <c r="M26" s="144"/>
    </row>
    <row r="27" spans="2:13" x14ac:dyDescent="0.2">
      <c r="B27" s="41"/>
      <c r="C27" s="251"/>
      <c r="D27" s="251"/>
      <c r="E27" s="142"/>
      <c r="F27" s="143"/>
      <c r="G27" s="144"/>
      <c r="H27" s="145"/>
      <c r="I27" s="145"/>
      <c r="J27" s="144"/>
      <c r="K27" s="144"/>
      <c r="L27" s="144"/>
      <c r="M27" s="144"/>
    </row>
    <row r="28" spans="2:13" x14ac:dyDescent="0.2">
      <c r="B28" s="41"/>
      <c r="C28" s="251"/>
      <c r="D28" s="251"/>
      <c r="E28" s="142"/>
      <c r="F28" s="143"/>
      <c r="G28" s="144"/>
      <c r="H28" s="145"/>
      <c r="I28" s="145"/>
      <c r="J28" s="144"/>
      <c r="K28" s="144"/>
      <c r="L28" s="144"/>
      <c r="M28" s="144"/>
    </row>
    <row r="29" spans="2:13" x14ac:dyDescent="0.2">
      <c r="B29" s="41"/>
      <c r="C29" s="251"/>
      <c r="D29" s="251"/>
      <c r="E29" s="142"/>
      <c r="F29" s="143"/>
      <c r="G29" s="144"/>
      <c r="H29" s="145"/>
      <c r="I29" s="145"/>
      <c r="J29" s="144"/>
      <c r="K29" s="144"/>
      <c r="L29" s="144"/>
      <c r="M29" s="144"/>
    </row>
    <row r="30" spans="2:13" x14ac:dyDescent="0.2">
      <c r="B30" s="41"/>
      <c r="C30" s="251"/>
      <c r="D30" s="251"/>
      <c r="E30" s="142"/>
      <c r="F30" s="143"/>
      <c r="G30" s="144"/>
      <c r="H30" s="145"/>
      <c r="I30" s="145"/>
      <c r="J30" s="144"/>
      <c r="K30" s="144"/>
      <c r="L30" s="144"/>
      <c r="M30" s="144"/>
    </row>
    <row r="31" spans="2:13" x14ac:dyDescent="0.2">
      <c r="B31" s="41"/>
      <c r="C31" s="251"/>
      <c r="D31" s="251"/>
      <c r="E31" s="142"/>
      <c r="F31" s="143"/>
      <c r="G31" s="144"/>
      <c r="H31" s="145"/>
      <c r="I31" s="145"/>
      <c r="J31" s="144"/>
      <c r="K31" s="144"/>
      <c r="L31" s="144"/>
      <c r="M31" s="144"/>
    </row>
    <row r="32" spans="2:13" x14ac:dyDescent="0.2">
      <c r="B32" s="146" t="s">
        <v>105</v>
      </c>
      <c r="C32" s="147"/>
      <c r="D32" s="147"/>
      <c r="E32" s="156"/>
      <c r="F32" s="149"/>
      <c r="G32" s="157">
        <f>SUM(G22:G31)</f>
        <v>0</v>
      </c>
      <c r="H32" s="151"/>
      <c r="I32" s="151"/>
      <c r="J32" s="157">
        <f>SUM(J22:J31)</f>
        <v>0</v>
      </c>
      <c r="K32" s="157">
        <f>SUM(K22:K31)</f>
        <v>0</v>
      </c>
      <c r="L32" s="150">
        <f>SUM(L22:L31)</f>
        <v>0</v>
      </c>
      <c r="M32" s="157">
        <f>SUM(M22:M31)</f>
        <v>0</v>
      </c>
    </row>
    <row r="33" spans="2:29" x14ac:dyDescent="0.2">
      <c r="B33" s="139" t="s">
        <v>106</v>
      </c>
      <c r="C33" s="152"/>
      <c r="D33" s="152"/>
      <c r="E33" s="153"/>
      <c r="F33" s="154"/>
      <c r="G33" s="158"/>
      <c r="H33" s="155"/>
      <c r="I33" s="155"/>
      <c r="J33" s="154"/>
      <c r="K33" s="154"/>
      <c r="L33" s="154"/>
      <c r="M33" s="154"/>
    </row>
    <row r="34" spans="2:29" x14ac:dyDescent="0.2">
      <c r="B34" s="41"/>
      <c r="C34" s="251"/>
      <c r="D34" s="251"/>
      <c r="E34" s="142"/>
      <c r="F34" s="143"/>
      <c r="G34" s="144"/>
      <c r="H34" s="145"/>
      <c r="I34" s="145"/>
      <c r="J34" s="144"/>
      <c r="K34" s="144"/>
      <c r="L34" s="144"/>
      <c r="M34" s="144"/>
    </row>
    <row r="35" spans="2:29" x14ac:dyDescent="0.2">
      <c r="B35" s="41" t="s">
        <v>1031</v>
      </c>
      <c r="C35" s="251">
        <v>44993</v>
      </c>
      <c r="D35" s="251"/>
      <c r="E35" s="142">
        <v>3.95</v>
      </c>
      <c r="F35" s="143"/>
      <c r="G35" s="144"/>
      <c r="H35" s="145"/>
      <c r="I35" s="145"/>
      <c r="J35" s="144"/>
      <c r="K35" s="144"/>
      <c r="L35" s="144"/>
      <c r="M35" s="144"/>
    </row>
    <row r="36" spans="2:29" x14ac:dyDescent="0.2">
      <c r="B36" s="41" t="s">
        <v>1030</v>
      </c>
      <c r="C36" s="251"/>
      <c r="D36" s="251"/>
      <c r="E36" s="142"/>
      <c r="F36" s="143"/>
      <c r="G36" s="144"/>
      <c r="H36" s="145"/>
      <c r="I36" s="145"/>
      <c r="J36" s="144"/>
      <c r="K36" s="144"/>
      <c r="L36" s="144"/>
      <c r="M36" s="144"/>
    </row>
    <row r="37" spans="2:29" x14ac:dyDescent="0.2">
      <c r="B37" s="41"/>
      <c r="C37" s="251"/>
      <c r="D37" s="251"/>
      <c r="E37" s="142"/>
      <c r="F37" s="143"/>
      <c r="G37" s="144"/>
      <c r="H37" s="145"/>
      <c r="I37" s="145"/>
      <c r="J37" s="144"/>
      <c r="K37" s="144"/>
      <c r="L37" s="144"/>
      <c r="M37" s="144"/>
    </row>
    <row r="38" spans="2:29" x14ac:dyDescent="0.2">
      <c r="B38" s="41"/>
      <c r="C38" s="251"/>
      <c r="D38" s="251"/>
      <c r="E38" s="142"/>
      <c r="F38" s="143"/>
      <c r="G38" s="144"/>
      <c r="H38" s="145"/>
      <c r="I38" s="145"/>
      <c r="J38" s="144"/>
      <c r="K38" s="144"/>
      <c r="L38" s="144"/>
      <c r="M38" s="144"/>
    </row>
    <row r="39" spans="2:29" x14ac:dyDescent="0.2">
      <c r="B39" s="41"/>
      <c r="C39" s="251"/>
      <c r="D39" s="251"/>
      <c r="E39" s="142"/>
      <c r="F39" s="143"/>
      <c r="G39" s="144"/>
      <c r="H39" s="145"/>
      <c r="I39" s="145"/>
      <c r="J39" s="144"/>
      <c r="K39" s="144"/>
      <c r="L39" s="144"/>
      <c r="M39" s="144"/>
    </row>
    <row r="40" spans="2:29" x14ac:dyDescent="0.2">
      <c r="B40" s="41"/>
      <c r="C40" s="251"/>
      <c r="D40" s="251"/>
      <c r="E40" s="142"/>
      <c r="F40" s="143"/>
      <c r="G40" s="144"/>
      <c r="H40" s="145"/>
      <c r="I40" s="145"/>
      <c r="J40" s="144"/>
      <c r="K40" s="144"/>
      <c r="L40" s="144"/>
      <c r="M40" s="144"/>
    </row>
    <row r="41" spans="2:29" x14ac:dyDescent="0.2">
      <c r="B41" s="41"/>
      <c r="C41" s="251"/>
      <c r="D41" s="251"/>
      <c r="E41" s="142"/>
      <c r="F41" s="143"/>
      <c r="G41" s="144"/>
      <c r="H41" s="145"/>
      <c r="I41" s="145"/>
      <c r="J41" s="144"/>
      <c r="K41" s="144"/>
      <c r="L41" s="144"/>
      <c r="M41" s="144"/>
      <c r="N41" s="24"/>
      <c r="O41" s="24"/>
      <c r="P41" s="24"/>
      <c r="Q41" s="24"/>
      <c r="R41" s="24"/>
      <c r="S41" s="24"/>
      <c r="T41" s="24"/>
      <c r="U41" s="24"/>
      <c r="V41" s="24"/>
      <c r="W41" s="24"/>
      <c r="X41" s="24"/>
      <c r="Y41" s="24"/>
      <c r="Z41" s="24"/>
      <c r="AA41" s="24"/>
      <c r="AB41" s="24"/>
      <c r="AC41" s="24"/>
    </row>
    <row r="42" spans="2:29" x14ac:dyDescent="0.2">
      <c r="B42" s="146" t="s">
        <v>179</v>
      </c>
      <c r="C42" s="128"/>
      <c r="D42" s="128"/>
      <c r="E42" s="156"/>
      <c r="F42" s="149"/>
      <c r="G42" s="157">
        <f>SUM(G34:G41)</f>
        <v>0</v>
      </c>
      <c r="H42" s="149"/>
      <c r="I42" s="149"/>
      <c r="J42" s="157">
        <f>SUM(J34:J41)</f>
        <v>0</v>
      </c>
      <c r="K42" s="157">
        <f>SUM(K34:K41)</f>
        <v>0</v>
      </c>
      <c r="L42" s="157">
        <f>SUM(L34:L41)</f>
        <v>0</v>
      </c>
      <c r="M42" s="157">
        <f>SUM(M34:M41)</f>
        <v>0</v>
      </c>
    </row>
    <row r="43" spans="2:29" x14ac:dyDescent="0.2">
      <c r="B43" s="146" t="s">
        <v>107</v>
      </c>
      <c r="C43" s="128"/>
      <c r="D43" s="128"/>
      <c r="E43" s="128"/>
      <c r="F43" s="149"/>
      <c r="G43" s="157">
        <f>SUM(G20+G32+G42)</f>
        <v>1725000</v>
      </c>
      <c r="H43" s="149"/>
      <c r="I43" s="149"/>
      <c r="J43" s="157">
        <f>SUM(J20+J32+J42)</f>
        <v>0</v>
      </c>
      <c r="K43" s="157">
        <f>SUM(K20+K32+K42)</f>
        <v>0</v>
      </c>
      <c r="L43" s="157">
        <f>SUM(L20+L32+L42)</f>
        <v>0</v>
      </c>
      <c r="M43" s="157">
        <f>SUM(M20+M32+M42)</f>
        <v>0</v>
      </c>
    </row>
    <row r="44" spans="2:29" x14ac:dyDescent="0.2">
      <c r="B44" s="24"/>
      <c r="C44" s="24"/>
      <c r="D44" s="24"/>
      <c r="E44" s="24"/>
      <c r="F44" s="24"/>
      <c r="G44" s="24"/>
      <c r="H44" s="24"/>
      <c r="I44" s="24"/>
      <c r="J44" s="24"/>
      <c r="K44" s="24"/>
      <c r="L44" s="24"/>
      <c r="M44" s="24"/>
    </row>
    <row r="45" spans="2:29" x14ac:dyDescent="0.2">
      <c r="F45" s="159"/>
      <c r="G45" s="159"/>
      <c r="J45" s="159"/>
      <c r="K45" s="159"/>
      <c r="L45" s="159"/>
      <c r="M45" s="159"/>
    </row>
    <row r="46" spans="2:29" x14ac:dyDescent="0.2">
      <c r="F46" s="24"/>
      <c r="H46" s="160"/>
      <c r="N46" s="24"/>
    </row>
    <row r="47" spans="2:29" x14ac:dyDescent="0.2">
      <c r="B47" s="24"/>
      <c r="C47" s="24"/>
      <c r="D47" s="24"/>
      <c r="E47" s="24"/>
      <c r="F47" s="24"/>
      <c r="G47" s="24"/>
      <c r="H47" s="24"/>
      <c r="I47" s="24"/>
      <c r="J47" s="24"/>
      <c r="K47" s="24"/>
      <c r="L47" s="24"/>
      <c r="M47" s="24"/>
    </row>
    <row r="48" spans="2:29" x14ac:dyDescent="0.2">
      <c r="B48" s="24"/>
      <c r="C48" s="24"/>
      <c r="D48" s="24"/>
      <c r="E48" s="24"/>
      <c r="F48" s="24"/>
      <c r="G48" s="24"/>
      <c r="H48" s="24"/>
      <c r="I48" s="24"/>
      <c r="J48" s="24"/>
      <c r="K48" s="24"/>
      <c r="L48" s="24"/>
      <c r="M48" s="24"/>
    </row>
  </sheetData>
  <sheetProtection sheet="1"/>
  <mergeCells count="3">
    <mergeCell ref="H6:I6"/>
    <mergeCell ref="J6:K6"/>
    <mergeCell ref="L6:M6"/>
  </mergeCells>
  <phoneticPr fontId="0" type="noConversion"/>
  <pageMargins left="0.25" right="0.25" top="1" bottom="0.5" header="0.5" footer="0.25"/>
  <pageSetup scale="75" orientation="landscape" blackAndWhite="1" horizontalDpi="120" verticalDpi="144" r:id="rId1"/>
  <headerFooter alignWithMargins="0">
    <oddHeader>&amp;RState of Kansas
City</oddHeader>
    <oddFooter>&amp;CPage No. 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I30"/>
  <sheetViews>
    <sheetView zoomScale="90" zoomScaleNormal="90" workbookViewId="0">
      <selection activeCell="I16" sqref="I16"/>
    </sheetView>
  </sheetViews>
  <sheetFormatPr defaultColWidth="8.88671875" defaultRowHeight="15.75" x14ac:dyDescent="0.25"/>
  <cols>
    <col min="1" max="1" width="4.88671875" style="2" customWidth="1"/>
    <col min="2" max="2" width="23.5546875" style="2" customWidth="1"/>
    <col min="3" max="5" width="9.77734375" style="2" customWidth="1"/>
    <col min="6" max="6" width="18.33203125" style="2" customWidth="1"/>
    <col min="7" max="9" width="15.77734375" style="2" customWidth="1"/>
    <col min="10" max="16384" width="8.88671875" style="2"/>
  </cols>
  <sheetData>
    <row r="1" spans="2:9" x14ac:dyDescent="0.25">
      <c r="B1" s="10" t="str">
        <f>inputPrYr!$D$3</f>
        <v>Wellsville</v>
      </c>
      <c r="C1" s="5"/>
      <c r="D1" s="5"/>
      <c r="E1" s="5"/>
      <c r="F1" s="5"/>
      <c r="G1" s="5"/>
      <c r="H1" s="5"/>
      <c r="I1" s="6">
        <f>inputPrYr!C6</f>
        <v>2024</v>
      </c>
    </row>
    <row r="2" spans="2:9" x14ac:dyDescent="0.25">
      <c r="B2" s="10"/>
      <c r="C2" s="5"/>
      <c r="D2" s="5"/>
      <c r="E2" s="5"/>
      <c r="F2" s="5"/>
      <c r="G2" s="5"/>
      <c r="H2" s="5"/>
      <c r="I2" s="7"/>
    </row>
    <row r="3" spans="2:9" x14ac:dyDescent="0.25">
      <c r="B3" s="5"/>
      <c r="C3" s="5"/>
      <c r="D3" s="5"/>
      <c r="E3" s="5"/>
      <c r="F3" s="5"/>
      <c r="G3" s="5"/>
      <c r="H3" s="5"/>
      <c r="I3" s="6"/>
    </row>
    <row r="4" spans="2:9" x14ac:dyDescent="0.25">
      <c r="B4" s="11" t="s">
        <v>119</v>
      </c>
      <c r="C4" s="8"/>
      <c r="D4" s="8"/>
      <c r="E4" s="8"/>
      <c r="F4" s="8"/>
      <c r="G4" s="8"/>
      <c r="H4" s="8"/>
      <c r="I4" s="8"/>
    </row>
    <row r="5" spans="2:9" x14ac:dyDescent="0.25">
      <c r="B5" s="4"/>
      <c r="C5" s="15"/>
      <c r="D5" s="15"/>
      <c r="E5" s="15"/>
      <c r="F5" s="15"/>
      <c r="G5" s="15"/>
      <c r="H5" s="15"/>
      <c r="I5" s="15"/>
    </row>
    <row r="6" spans="2:9" x14ac:dyDescent="0.25">
      <c r="B6" s="9"/>
      <c r="C6" s="9"/>
      <c r="D6" s="9"/>
      <c r="E6" s="9"/>
      <c r="F6" s="12" t="s">
        <v>35</v>
      </c>
      <c r="G6" s="9"/>
      <c r="H6" s="9"/>
      <c r="I6" s="9"/>
    </row>
    <row r="7" spans="2:9" x14ac:dyDescent="0.25">
      <c r="B7" s="366"/>
      <c r="C7" s="13"/>
      <c r="D7" s="13" t="s">
        <v>108</v>
      </c>
      <c r="E7" s="13" t="s">
        <v>109</v>
      </c>
      <c r="F7" s="13" t="s">
        <v>53</v>
      </c>
      <c r="G7" s="13" t="s">
        <v>692</v>
      </c>
      <c r="H7" s="13" t="s">
        <v>112</v>
      </c>
      <c r="I7" s="13" t="s">
        <v>112</v>
      </c>
    </row>
    <row r="8" spans="2:9" x14ac:dyDescent="0.25">
      <c r="B8" s="13" t="s">
        <v>416</v>
      </c>
      <c r="C8" s="13" t="s">
        <v>113</v>
      </c>
      <c r="D8" s="13" t="s">
        <v>114</v>
      </c>
      <c r="E8" s="13" t="s">
        <v>98</v>
      </c>
      <c r="F8" s="13" t="s">
        <v>115</v>
      </c>
      <c r="G8" s="13" t="s">
        <v>693</v>
      </c>
      <c r="H8" s="13" t="s">
        <v>116</v>
      </c>
      <c r="I8" s="13" t="s">
        <v>116</v>
      </c>
    </row>
    <row r="9" spans="2:9" x14ac:dyDescent="0.25">
      <c r="B9" s="14" t="s">
        <v>415</v>
      </c>
      <c r="C9" s="14" t="s">
        <v>95</v>
      </c>
      <c r="D9" s="17" t="s">
        <v>117</v>
      </c>
      <c r="E9" s="14" t="s">
        <v>77</v>
      </c>
      <c r="F9" s="17" t="s">
        <v>142</v>
      </c>
      <c r="G9" s="571">
        <f>inputPrYr!C6-1</f>
        <v>2023</v>
      </c>
      <c r="H9" s="14">
        <f>I1-1</f>
        <v>2023</v>
      </c>
      <c r="I9" s="14">
        <f>I1</f>
        <v>2024</v>
      </c>
    </row>
    <row r="10" spans="2:9" x14ac:dyDescent="0.25">
      <c r="B10" s="3"/>
      <c r="C10" s="23"/>
      <c r="D10" s="21"/>
      <c r="E10" s="19"/>
      <c r="F10" s="20"/>
      <c r="G10" s="20"/>
      <c r="H10" s="20"/>
      <c r="I10" s="20"/>
    </row>
    <row r="11" spans="2:9" x14ac:dyDescent="0.25">
      <c r="B11" s="41" t="s">
        <v>1024</v>
      </c>
      <c r="C11" s="251">
        <v>43497</v>
      </c>
      <c r="D11" s="632">
        <v>60</v>
      </c>
      <c r="E11" s="142">
        <v>4.38</v>
      </c>
      <c r="F11" s="143">
        <v>61495</v>
      </c>
      <c r="G11" s="143">
        <v>32065</v>
      </c>
      <c r="H11" s="143">
        <v>17093</v>
      </c>
      <c r="I11" s="143">
        <v>17093</v>
      </c>
    </row>
    <row r="12" spans="2:9" x14ac:dyDescent="0.25">
      <c r="B12" s="3"/>
      <c r="C12" s="23"/>
      <c r="D12" s="21"/>
      <c r="E12" s="19"/>
      <c r="F12" s="20"/>
      <c r="G12" s="20"/>
      <c r="H12" s="20"/>
      <c r="I12" s="20"/>
    </row>
    <row r="13" spans="2:9" x14ac:dyDescent="0.25">
      <c r="B13" s="3" t="s">
        <v>1025</v>
      </c>
      <c r="C13" s="23">
        <v>43910</v>
      </c>
      <c r="D13" s="21">
        <v>36</v>
      </c>
      <c r="E13" s="19">
        <v>6.4</v>
      </c>
      <c r="F13" s="20">
        <v>32880</v>
      </c>
      <c r="G13" s="143">
        <v>10943</v>
      </c>
      <c r="H13" s="143">
        <v>10943</v>
      </c>
      <c r="I13" s="143">
        <v>0</v>
      </c>
    </row>
    <row r="14" spans="2:9" x14ac:dyDescent="0.25">
      <c r="B14" s="3" t="s">
        <v>1026</v>
      </c>
      <c r="C14" s="23">
        <v>43965</v>
      </c>
      <c r="D14" s="21">
        <v>36</v>
      </c>
      <c r="E14" s="19">
        <v>5.65</v>
      </c>
      <c r="F14" s="143">
        <v>32880</v>
      </c>
      <c r="G14" s="143">
        <v>10949</v>
      </c>
      <c r="H14" s="143">
        <v>10949</v>
      </c>
      <c r="I14" s="143">
        <v>0</v>
      </c>
    </row>
    <row r="15" spans="2:9" x14ac:dyDescent="0.25">
      <c r="B15" s="3"/>
      <c r="C15" s="23"/>
      <c r="D15" s="21"/>
      <c r="E15" s="19"/>
      <c r="F15" s="20"/>
      <c r="G15" s="20"/>
      <c r="H15" s="20"/>
      <c r="I15" s="20"/>
    </row>
    <row r="16" spans="2:9" x14ac:dyDescent="0.25">
      <c r="B16" s="3" t="s">
        <v>1027</v>
      </c>
      <c r="C16" s="23">
        <v>44741</v>
      </c>
      <c r="D16" s="21">
        <v>60</v>
      </c>
      <c r="E16" s="19">
        <v>3.5</v>
      </c>
      <c r="F16" s="20">
        <v>500000</v>
      </c>
      <c r="G16" s="20">
        <v>500000</v>
      </c>
      <c r="H16" s="20">
        <v>59398</v>
      </c>
      <c r="I16" s="20">
        <v>60000</v>
      </c>
    </row>
    <row r="17" spans="2:9" x14ac:dyDescent="0.25">
      <c r="B17" s="3"/>
      <c r="C17" s="23"/>
      <c r="D17" s="21"/>
      <c r="E17" s="19"/>
      <c r="F17" s="20"/>
      <c r="G17" s="20"/>
      <c r="H17" s="20"/>
      <c r="I17" s="20"/>
    </row>
    <row r="18" spans="2:9" x14ac:dyDescent="0.25">
      <c r="B18" s="3"/>
      <c r="C18" s="23"/>
      <c r="D18" s="21"/>
      <c r="E18" s="19"/>
      <c r="F18" s="20"/>
      <c r="G18" s="20"/>
      <c r="H18" s="20"/>
      <c r="I18" s="20"/>
    </row>
    <row r="19" spans="2:9" x14ac:dyDescent="0.25">
      <c r="B19" s="3"/>
      <c r="C19" s="23"/>
      <c r="D19" s="21"/>
      <c r="E19" s="19"/>
      <c r="F19" s="20"/>
      <c r="G19" s="20"/>
      <c r="H19" s="20"/>
      <c r="I19" s="20"/>
    </row>
    <row r="20" spans="2:9" x14ac:dyDescent="0.25">
      <c r="B20" s="3"/>
      <c r="C20" s="23"/>
      <c r="D20" s="21"/>
      <c r="E20" s="19"/>
      <c r="F20" s="20"/>
      <c r="G20" s="20"/>
      <c r="H20" s="20"/>
      <c r="I20" s="20"/>
    </row>
    <row r="21" spans="2:9" x14ac:dyDescent="0.25">
      <c r="B21" s="3"/>
      <c r="C21" s="23"/>
      <c r="D21" s="21"/>
      <c r="E21" s="19"/>
      <c r="F21" s="20"/>
      <c r="G21" s="20"/>
      <c r="H21" s="20"/>
      <c r="I21" s="20"/>
    </row>
    <row r="22" spans="2:9" x14ac:dyDescent="0.25">
      <c r="B22" s="3"/>
      <c r="C22" s="23"/>
      <c r="D22" s="21"/>
      <c r="E22" s="19"/>
      <c r="F22" s="20"/>
      <c r="G22" s="20"/>
      <c r="H22" s="20"/>
      <c r="I22" s="20"/>
    </row>
    <row r="23" spans="2:9" x14ac:dyDescent="0.25">
      <c r="B23" s="3"/>
      <c r="C23" s="23"/>
      <c r="D23" s="21"/>
      <c r="E23" s="19"/>
      <c r="F23" s="20"/>
      <c r="G23" s="20"/>
      <c r="H23" s="20"/>
      <c r="I23" s="20"/>
    </row>
    <row r="24" spans="2:9" x14ac:dyDescent="0.25">
      <c r="B24" s="3"/>
      <c r="C24" s="23"/>
      <c r="D24" s="21"/>
      <c r="E24" s="19"/>
      <c r="F24" s="20"/>
      <c r="G24" s="20"/>
      <c r="H24" s="20"/>
      <c r="I24" s="20"/>
    </row>
    <row r="25" spans="2:9" x14ac:dyDescent="0.25">
      <c r="B25" s="3"/>
      <c r="C25" s="23"/>
      <c r="D25" s="21"/>
      <c r="E25" s="19"/>
      <c r="F25" s="20"/>
      <c r="G25" s="20"/>
      <c r="H25" s="20"/>
      <c r="I25" s="20"/>
    </row>
    <row r="26" spans="2:9" x14ac:dyDescent="0.25">
      <c r="B26" s="3"/>
      <c r="C26" s="23"/>
      <c r="D26" s="21"/>
      <c r="E26" s="19"/>
      <c r="F26" s="20"/>
      <c r="G26" s="20"/>
      <c r="H26" s="20"/>
      <c r="I26" s="20"/>
    </row>
    <row r="27" spans="2:9" x14ac:dyDescent="0.25">
      <c r="B27" s="3"/>
      <c r="C27" s="23"/>
      <c r="D27" s="21"/>
      <c r="E27" s="19"/>
      <c r="F27" s="20"/>
      <c r="G27" s="20"/>
      <c r="H27" s="20"/>
      <c r="I27" s="20"/>
    </row>
    <row r="28" spans="2:9" ht="16.5" thickBot="1" x14ac:dyDescent="0.3">
      <c r="B28" s="16"/>
      <c r="C28" s="18"/>
      <c r="D28" s="18"/>
      <c r="E28" s="18"/>
      <c r="F28" s="440" t="s">
        <v>48</v>
      </c>
      <c r="G28" s="22">
        <f>SUM(G10:G27)</f>
        <v>553957</v>
      </c>
      <c r="H28" s="22">
        <f>SUM(H10:H27)</f>
        <v>98383</v>
      </c>
      <c r="I28" s="22">
        <f>SUM(I10:I27)</f>
        <v>77093</v>
      </c>
    </row>
    <row r="29" spans="2:9" ht="16.5" thickTop="1" x14ac:dyDescent="0.25">
      <c r="B29" s="5"/>
      <c r="C29" s="5"/>
      <c r="D29" s="5"/>
      <c r="E29" s="5"/>
      <c r="F29" s="5"/>
      <c r="G29" s="5"/>
      <c r="H29" s="10"/>
      <c r="I29" s="10"/>
    </row>
    <row r="30" spans="2:9" ht="18.75" x14ac:dyDescent="0.3">
      <c r="B30" s="686" t="s">
        <v>691</v>
      </c>
      <c r="C30" s="686"/>
      <c r="D30" s="686"/>
      <c r="E30" s="686"/>
      <c r="F30" s="686"/>
      <c r="G30" s="686"/>
      <c r="H30" s="686"/>
      <c r="I30" s="686"/>
    </row>
  </sheetData>
  <sheetProtection sheet="1"/>
  <mergeCells count="1">
    <mergeCell ref="B30:I30"/>
  </mergeCells>
  <phoneticPr fontId="0" type="noConversion"/>
  <pageMargins left="0.25" right="0.25" top="1" bottom="0.5" header="0.5" footer="0.5"/>
  <pageSetup scale="85" orientation="landscape" blackAndWhite="1" horizontalDpi="120" verticalDpi="144" r:id="rId1"/>
  <headerFooter alignWithMargins="0">
    <oddHeader>&amp;RState of Kansas
City</oddHeader>
    <oddFooter>&amp;CPage No. 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108"/>
  <sheetViews>
    <sheetView zoomScaleNormal="100" workbookViewId="0">
      <selection activeCell="E97" sqref="E97"/>
    </sheetView>
  </sheetViews>
  <sheetFormatPr defaultColWidth="8.88671875" defaultRowHeight="15" x14ac:dyDescent="0.2"/>
  <cols>
    <col min="1" max="1" width="2.5546875" style="413" customWidth="1"/>
    <col min="2" max="4" width="8.88671875" style="413"/>
    <col min="5" max="5" width="9.6640625" style="413" customWidth="1"/>
    <col min="6" max="6" width="8.88671875" style="413"/>
    <col min="7" max="7" width="9.6640625" style="413" customWidth="1"/>
    <col min="8" max="16384" width="8.88671875" style="413"/>
  </cols>
  <sheetData>
    <row r="1" spans="2:9" ht="15.75" x14ac:dyDescent="0.25">
      <c r="B1" s="412"/>
      <c r="C1" s="412"/>
      <c r="D1" s="412"/>
      <c r="E1" s="412"/>
      <c r="F1" s="412"/>
      <c r="G1" s="412"/>
      <c r="H1" s="412"/>
      <c r="I1" s="412"/>
    </row>
    <row r="2" spans="2:9" ht="15.75" x14ac:dyDescent="0.2">
      <c r="B2" s="689" t="s">
        <v>424</v>
      </c>
      <c r="C2" s="689"/>
      <c r="D2" s="689"/>
      <c r="E2" s="689"/>
      <c r="F2" s="689"/>
      <c r="G2" s="689"/>
      <c r="H2" s="689"/>
      <c r="I2" s="689"/>
    </row>
    <row r="3" spans="2:9" ht="15.75" x14ac:dyDescent="0.2">
      <c r="B3" s="689" t="s">
        <v>425</v>
      </c>
      <c r="C3" s="689"/>
      <c r="D3" s="689"/>
      <c r="E3" s="689"/>
      <c r="F3" s="689"/>
      <c r="G3" s="689"/>
      <c r="H3" s="689"/>
      <c r="I3" s="689"/>
    </row>
    <row r="4" spans="2:9" ht="15.75" x14ac:dyDescent="0.2">
      <c r="B4" s="414"/>
      <c r="C4" s="414"/>
      <c r="D4" s="414"/>
      <c r="E4" s="414"/>
      <c r="F4" s="414"/>
      <c r="G4" s="414"/>
      <c r="H4" s="414"/>
      <c r="I4" s="414"/>
    </row>
    <row r="5" spans="2:9" ht="15.75" x14ac:dyDescent="0.2">
      <c r="B5" s="690" t="str">
        <f>CONCATENATE("Budgeted Year: ",inputPrYr!C6,"")</f>
        <v>Budgeted Year: 2024</v>
      </c>
      <c r="C5" s="690"/>
      <c r="D5" s="690"/>
      <c r="E5" s="690"/>
      <c r="F5" s="690"/>
      <c r="G5" s="690"/>
      <c r="H5" s="690"/>
      <c r="I5" s="690"/>
    </row>
    <row r="6" spans="2:9" ht="15.75" x14ac:dyDescent="0.2">
      <c r="B6" s="415"/>
      <c r="C6" s="414"/>
      <c r="D6" s="414"/>
      <c r="E6" s="414"/>
      <c r="F6" s="414"/>
      <c r="G6" s="414"/>
      <c r="H6" s="414"/>
      <c r="I6" s="414"/>
    </row>
    <row r="7" spans="2:9" ht="15.75" x14ac:dyDescent="0.2">
      <c r="B7" s="415" t="str">
        <f>CONCATENATE("Library found in: ",inputPrYr!D3,"")</f>
        <v>Library found in: Wellsville</v>
      </c>
      <c r="C7" s="414"/>
      <c r="D7" s="414"/>
      <c r="E7" s="414"/>
      <c r="F7" s="414"/>
      <c r="G7" s="414"/>
      <c r="H7" s="414"/>
      <c r="I7" s="414"/>
    </row>
    <row r="8" spans="2:9" ht="15.75" x14ac:dyDescent="0.2">
      <c r="B8" s="415" t="str">
        <f>inputPrYr!D4</f>
        <v>Franklin</v>
      </c>
      <c r="C8" s="414"/>
      <c r="D8" s="414"/>
      <c r="E8" s="414"/>
      <c r="F8" s="414"/>
      <c r="G8" s="414"/>
      <c r="H8" s="414"/>
      <c r="I8" s="414"/>
    </row>
    <row r="9" spans="2:9" ht="15.75" x14ac:dyDescent="0.2">
      <c r="B9" s="414"/>
      <c r="C9" s="414"/>
      <c r="D9" s="414"/>
      <c r="E9" s="414"/>
      <c r="F9" s="414"/>
      <c r="G9" s="414"/>
      <c r="H9" s="414"/>
      <c r="I9" s="414"/>
    </row>
    <row r="10" spans="2:9" ht="39" customHeight="1" x14ac:dyDescent="0.2">
      <c r="B10" s="691" t="s">
        <v>694</v>
      </c>
      <c r="C10" s="691"/>
      <c r="D10" s="691"/>
      <c r="E10" s="691"/>
      <c r="F10" s="691"/>
      <c r="G10" s="691"/>
      <c r="H10" s="691"/>
      <c r="I10" s="691"/>
    </row>
    <row r="11" spans="2:9" ht="15.75" x14ac:dyDescent="0.2">
      <c r="B11" s="414"/>
      <c r="C11" s="414"/>
      <c r="D11" s="414"/>
      <c r="E11" s="414"/>
      <c r="F11" s="414"/>
      <c r="G11" s="414"/>
      <c r="H11" s="414"/>
      <c r="I11" s="414"/>
    </row>
    <row r="12" spans="2:9" ht="15.75" x14ac:dyDescent="0.2">
      <c r="B12" s="416" t="s">
        <v>426</v>
      </c>
      <c r="C12" s="414"/>
      <c r="D12" s="414"/>
      <c r="E12" s="414"/>
      <c r="F12" s="414"/>
      <c r="G12" s="414"/>
      <c r="H12" s="414"/>
      <c r="I12" s="414"/>
    </row>
    <row r="13" spans="2:9" ht="15.75" x14ac:dyDescent="0.2">
      <c r="B13" s="414"/>
      <c r="C13" s="414"/>
      <c r="D13" s="414"/>
      <c r="E13" s="417" t="s">
        <v>427</v>
      </c>
      <c r="F13" s="414"/>
      <c r="G13" s="417" t="s">
        <v>428</v>
      </c>
      <c r="H13" s="414"/>
      <c r="I13" s="414"/>
    </row>
    <row r="14" spans="2:9" ht="15.75" x14ac:dyDescent="0.2">
      <c r="B14" s="414"/>
      <c r="C14" s="414"/>
      <c r="D14" s="414"/>
      <c r="E14" s="418">
        <f>inputPrYr!C6-1</f>
        <v>2023</v>
      </c>
      <c r="F14" s="414"/>
      <c r="G14" s="418">
        <f>inputPrYr!C6</f>
        <v>2024</v>
      </c>
      <c r="H14" s="414"/>
      <c r="I14" s="414"/>
    </row>
    <row r="15" spans="2:9" ht="15.75" x14ac:dyDescent="0.2">
      <c r="B15" s="415" t="s">
        <v>485</v>
      </c>
      <c r="C15" s="414"/>
      <c r="D15" s="414"/>
      <c r="E15" s="419">
        <f>'DebtSvs-Library'!D47</f>
        <v>92374</v>
      </c>
      <c r="F15" s="414"/>
      <c r="G15" s="419">
        <f>'DebtSvs-Library'!E80</f>
        <v>95503</v>
      </c>
      <c r="H15" s="414"/>
      <c r="I15" s="414"/>
    </row>
    <row r="16" spans="2:9" ht="15.75" x14ac:dyDescent="0.2">
      <c r="B16" s="415" t="s">
        <v>61</v>
      </c>
      <c r="C16" s="414"/>
      <c r="D16" s="414"/>
      <c r="E16" s="419">
        <f>'DebtSvs-Library'!D48</f>
        <v>1000</v>
      </c>
      <c r="F16" s="414"/>
      <c r="G16" s="419">
        <f>'DebtSvs-Library'!E48</f>
        <v>0</v>
      </c>
      <c r="H16" s="414"/>
      <c r="I16" s="414"/>
    </row>
    <row r="17" spans="2:9" ht="15.75" x14ac:dyDescent="0.2">
      <c r="B17" s="415" t="s">
        <v>62</v>
      </c>
      <c r="C17" s="414"/>
      <c r="D17" s="414"/>
      <c r="E17" s="419">
        <f>'DebtSvs-Library'!D49</f>
        <v>7908</v>
      </c>
      <c r="F17" s="414"/>
      <c r="G17" s="419">
        <f>'DebtSvs-Library'!E49</f>
        <v>7754</v>
      </c>
      <c r="H17" s="414"/>
      <c r="I17" s="414"/>
    </row>
    <row r="18" spans="2:9" ht="15.75" x14ac:dyDescent="0.2">
      <c r="B18" s="415" t="s">
        <v>486</v>
      </c>
      <c r="C18" s="414"/>
      <c r="D18" s="414"/>
      <c r="E18" s="419">
        <f>'DebtSvs-Library'!D50</f>
        <v>167</v>
      </c>
      <c r="F18" s="414"/>
      <c r="G18" s="419">
        <f>'DebtSvs-Library'!E50</f>
        <v>169</v>
      </c>
      <c r="H18" s="414"/>
      <c r="I18" s="414"/>
    </row>
    <row r="19" spans="2:9" ht="15.75" x14ac:dyDescent="0.2">
      <c r="B19" s="415" t="s">
        <v>487</v>
      </c>
      <c r="C19" s="414"/>
      <c r="D19" s="414"/>
      <c r="E19" s="419">
        <f>'DebtSvs-Library'!D51</f>
        <v>19</v>
      </c>
      <c r="F19" s="414"/>
      <c r="G19" s="419">
        <f>'DebtSvs-Library'!E51</f>
        <v>63</v>
      </c>
      <c r="H19" s="414"/>
      <c r="I19" s="414"/>
    </row>
    <row r="20" spans="2:9" ht="15.75" x14ac:dyDescent="0.2">
      <c r="B20" s="414" t="s">
        <v>161</v>
      </c>
      <c r="C20" s="414"/>
      <c r="D20" s="414"/>
      <c r="E20" s="419">
        <v>0</v>
      </c>
      <c r="F20" s="414"/>
      <c r="G20" s="419">
        <v>0</v>
      </c>
      <c r="H20" s="414"/>
      <c r="I20" s="414"/>
    </row>
    <row r="21" spans="2:9" ht="15.75" x14ac:dyDescent="0.2">
      <c r="B21" s="414"/>
      <c r="C21" s="414"/>
      <c r="D21" s="414"/>
      <c r="E21" s="419">
        <v>0</v>
      </c>
      <c r="F21" s="414"/>
      <c r="G21" s="419">
        <v>0</v>
      </c>
      <c r="H21" s="414"/>
      <c r="I21" s="414"/>
    </row>
    <row r="22" spans="2:9" ht="15.75" x14ac:dyDescent="0.2">
      <c r="B22" s="414" t="s">
        <v>429</v>
      </c>
      <c r="C22" s="414"/>
      <c r="D22" s="414"/>
      <c r="E22" s="420">
        <f>SUM(E15:E21)</f>
        <v>101468</v>
      </c>
      <c r="F22" s="414"/>
      <c r="G22" s="420">
        <f>SUM(G15:G21)</f>
        <v>103489</v>
      </c>
      <c r="H22" s="414"/>
      <c r="I22" s="414"/>
    </row>
    <row r="23" spans="2:9" ht="15.75" x14ac:dyDescent="0.2">
      <c r="B23" s="414" t="s">
        <v>430</v>
      </c>
      <c r="C23" s="414"/>
      <c r="D23" s="414"/>
      <c r="E23" s="441">
        <f>G22-E22</f>
        <v>2021</v>
      </c>
      <c r="F23" s="414"/>
      <c r="G23" s="419"/>
      <c r="H23" s="414"/>
      <c r="I23" s="414"/>
    </row>
    <row r="24" spans="2:9" ht="15.75" x14ac:dyDescent="0.2">
      <c r="B24" s="414" t="s">
        <v>431</v>
      </c>
      <c r="C24" s="414"/>
      <c r="D24" s="421" t="str">
        <f>IF((G22-E22)&gt;=0,"Qualify","Not Qualify")</f>
        <v>Qualify</v>
      </c>
      <c r="E24" s="414"/>
      <c r="F24" s="414"/>
      <c r="G24" s="414"/>
      <c r="H24" s="414"/>
      <c r="I24" s="414"/>
    </row>
    <row r="25" spans="2:9" ht="15.75" x14ac:dyDescent="0.2">
      <c r="B25" s="414"/>
      <c r="C25" s="414"/>
      <c r="D25" s="414"/>
      <c r="E25" s="414"/>
      <c r="F25" s="414"/>
      <c r="G25" s="414"/>
      <c r="H25" s="414"/>
      <c r="I25" s="414"/>
    </row>
    <row r="26" spans="2:9" ht="15.75" x14ac:dyDescent="0.2">
      <c r="B26" s="416" t="s">
        <v>432</v>
      </c>
      <c r="C26" s="414"/>
      <c r="D26" s="414"/>
      <c r="E26" s="414"/>
      <c r="F26" s="414"/>
      <c r="G26" s="414"/>
      <c r="H26" s="414"/>
      <c r="I26" s="414"/>
    </row>
    <row r="27" spans="2:9" ht="15.75" x14ac:dyDescent="0.2">
      <c r="B27" s="414" t="s">
        <v>433</v>
      </c>
      <c r="C27" s="414"/>
      <c r="D27" s="414"/>
      <c r="E27" s="419">
        <f>'Summary Budget Hearing Notice'!D58</f>
        <v>19345400</v>
      </c>
      <c r="F27" s="414"/>
      <c r="G27" s="419">
        <f>'Summary Budget Hearing Notice'!F58</f>
        <v>20856018</v>
      </c>
      <c r="H27" s="414"/>
      <c r="I27" s="414"/>
    </row>
    <row r="28" spans="2:9" ht="15.75" x14ac:dyDescent="0.2">
      <c r="B28" s="414" t="s">
        <v>434</v>
      </c>
      <c r="C28" s="414"/>
      <c r="D28" s="414"/>
      <c r="E28" s="422" t="str">
        <f>IF(G27-E27&gt;=0,"No","Yes")</f>
        <v>No</v>
      </c>
      <c r="F28" s="414"/>
      <c r="G28" s="414"/>
      <c r="H28" s="414"/>
      <c r="I28" s="414"/>
    </row>
    <row r="29" spans="2:9" ht="15.75" x14ac:dyDescent="0.2">
      <c r="B29" s="414" t="s">
        <v>435</v>
      </c>
      <c r="C29" s="414"/>
      <c r="D29" s="414"/>
      <c r="E29" s="417">
        <f>'Summary Budget Hearing Notice'!E17</f>
        <v>4.7750000000000004</v>
      </c>
      <c r="F29" s="414"/>
      <c r="G29" s="423">
        <f>'Summary Budget Hearing Notice'!H17</f>
        <v>4.5789999999999997</v>
      </c>
      <c r="H29" s="414"/>
      <c r="I29" s="414"/>
    </row>
    <row r="30" spans="2:9" ht="15.75" x14ac:dyDescent="0.2">
      <c r="B30" s="414" t="s">
        <v>436</v>
      </c>
      <c r="C30" s="414"/>
      <c r="D30" s="414"/>
      <c r="E30" s="424">
        <f>G29-E29</f>
        <v>-0.19600000000000062</v>
      </c>
      <c r="F30" s="414"/>
      <c r="G30" s="414"/>
      <c r="H30" s="414"/>
      <c r="I30" s="414"/>
    </row>
    <row r="31" spans="2:9" ht="15.75" x14ac:dyDescent="0.2">
      <c r="B31" s="414" t="s">
        <v>431</v>
      </c>
      <c r="C31" s="414"/>
      <c r="D31" s="425" t="str">
        <f>IF(E30&gt;=0,"Qualify","Not Qualify")</f>
        <v>Not Qualify</v>
      </c>
      <c r="E31" s="414"/>
      <c r="F31" s="414"/>
      <c r="G31" s="414"/>
      <c r="H31" s="414"/>
      <c r="I31" s="414"/>
    </row>
    <row r="32" spans="2:9" ht="15.75" x14ac:dyDescent="0.2">
      <c r="B32" s="414"/>
      <c r="C32" s="414"/>
      <c r="D32" s="414"/>
      <c r="E32" s="414"/>
      <c r="F32" s="414"/>
      <c r="G32" s="414"/>
      <c r="H32" s="414"/>
      <c r="I32" s="414"/>
    </row>
    <row r="33" spans="2:9" ht="15.75" x14ac:dyDescent="0.2">
      <c r="B33" s="414" t="s">
        <v>437</v>
      </c>
      <c r="C33" s="414"/>
      <c r="D33" s="414"/>
      <c r="E33" s="414"/>
      <c r="F33" s="426" t="str">
        <f>IF(D24="Not Qualify",IF(D31="Not Qualify",IF(D31="Not Qualify","Not Qualify","Qualify"),"Qualify"),"Qualify")</f>
        <v>Qualify</v>
      </c>
      <c r="G33" s="414"/>
      <c r="H33" s="414"/>
      <c r="I33" s="414"/>
    </row>
    <row r="34" spans="2:9" ht="15.75" x14ac:dyDescent="0.2">
      <c r="B34" s="414"/>
      <c r="C34" s="414"/>
      <c r="D34" s="414"/>
      <c r="E34" s="414"/>
      <c r="F34" s="414"/>
      <c r="G34" s="414"/>
      <c r="H34" s="414"/>
      <c r="I34" s="414"/>
    </row>
    <row r="35" spans="2:9" ht="15.75" x14ac:dyDescent="0.2">
      <c r="B35" s="414"/>
      <c r="C35" s="414"/>
      <c r="D35" s="414"/>
      <c r="E35" s="414"/>
      <c r="F35" s="414"/>
      <c r="G35" s="414"/>
      <c r="H35" s="414"/>
      <c r="I35" s="414"/>
    </row>
    <row r="36" spans="2:9" ht="37.5" customHeight="1" x14ac:dyDescent="0.2">
      <c r="B36" s="691" t="s">
        <v>438</v>
      </c>
      <c r="C36" s="691"/>
      <c r="D36" s="691"/>
      <c r="E36" s="691"/>
      <c r="F36" s="691"/>
      <c r="G36" s="691"/>
      <c r="H36" s="691"/>
      <c r="I36" s="691"/>
    </row>
    <row r="37" spans="2:9" ht="15.75" x14ac:dyDescent="0.2">
      <c r="B37" s="414"/>
      <c r="C37" s="414"/>
      <c r="D37" s="414"/>
      <c r="E37" s="414"/>
      <c r="F37" s="414"/>
      <c r="G37" s="414"/>
      <c r="H37" s="414"/>
      <c r="I37" s="414"/>
    </row>
    <row r="38" spans="2:9" ht="15.75" x14ac:dyDescent="0.2">
      <c r="B38" s="414"/>
      <c r="C38" s="414"/>
      <c r="D38" s="414"/>
      <c r="E38" s="414"/>
      <c r="F38" s="414"/>
      <c r="G38" s="414"/>
      <c r="H38" s="414"/>
      <c r="I38" s="414"/>
    </row>
    <row r="39" spans="2:9" ht="15.75" x14ac:dyDescent="0.2">
      <c r="B39" s="414"/>
      <c r="C39" s="414"/>
      <c r="D39" s="414"/>
      <c r="E39" s="414"/>
      <c r="F39" s="414"/>
      <c r="G39" s="414"/>
      <c r="H39" s="414"/>
      <c r="I39" s="414"/>
    </row>
    <row r="40" spans="2:9" ht="15.75" x14ac:dyDescent="0.2">
      <c r="B40" s="414"/>
      <c r="C40" s="414"/>
      <c r="D40" s="414"/>
      <c r="E40" s="427" t="s">
        <v>70</v>
      </c>
      <c r="F40" s="428">
        <v>7</v>
      </c>
      <c r="G40" s="414"/>
      <c r="H40" s="414"/>
      <c r="I40" s="414"/>
    </row>
    <row r="41" spans="2:9" ht="15.75" x14ac:dyDescent="0.2">
      <c r="B41" s="414"/>
      <c r="C41" s="414"/>
      <c r="D41" s="414"/>
      <c r="E41" s="414"/>
      <c r="F41" s="414"/>
      <c r="G41" s="414"/>
      <c r="H41" s="414"/>
      <c r="I41" s="414"/>
    </row>
    <row r="42" spans="2:9" ht="15.75" x14ac:dyDescent="0.2">
      <c r="B42" s="414"/>
      <c r="C42" s="414"/>
      <c r="D42" s="414"/>
      <c r="E42" s="414"/>
      <c r="F42" s="414"/>
      <c r="G42" s="414"/>
      <c r="H42" s="414"/>
      <c r="I42" s="414"/>
    </row>
    <row r="43" spans="2:9" ht="15.75" x14ac:dyDescent="0.25">
      <c r="B43" s="687" t="s">
        <v>439</v>
      </c>
      <c r="C43" s="688"/>
      <c r="D43" s="688"/>
      <c r="E43" s="688"/>
      <c r="F43" s="688"/>
      <c r="G43" s="688"/>
      <c r="H43" s="688"/>
      <c r="I43" s="688"/>
    </row>
    <row r="44" spans="2:9" ht="15.75" x14ac:dyDescent="0.2">
      <c r="B44" s="414"/>
      <c r="C44" s="414"/>
      <c r="D44" s="414"/>
      <c r="E44" s="414"/>
      <c r="F44" s="414"/>
      <c r="G44" s="414"/>
      <c r="H44" s="414"/>
      <c r="I44" s="414"/>
    </row>
    <row r="45" spans="2:9" ht="15.75" x14ac:dyDescent="0.25">
      <c r="B45" s="429" t="s">
        <v>440</v>
      </c>
      <c r="C45" s="414"/>
      <c r="D45" s="414"/>
      <c r="E45" s="414"/>
      <c r="F45" s="414"/>
      <c r="G45" s="414"/>
      <c r="H45" s="414"/>
      <c r="I45" s="414"/>
    </row>
    <row r="46" spans="2:9" ht="15.75" x14ac:dyDescent="0.25">
      <c r="B46" s="429" t="str">
        <f>CONCATENATE("sources in your ",G14," library fund is not equal to or greater than the amount from the same")</f>
        <v>sources in your 2024 library fund is not equal to or greater than the amount from the same</v>
      </c>
      <c r="C46" s="414"/>
      <c r="D46" s="414"/>
      <c r="E46" s="414"/>
      <c r="F46" s="414"/>
      <c r="G46" s="414"/>
      <c r="H46" s="414"/>
      <c r="I46" s="414"/>
    </row>
    <row r="47" spans="2:9" ht="15.75" x14ac:dyDescent="0.25">
      <c r="B47" s="429" t="str">
        <f>CONCATENATE("sources in ",E14,".")</f>
        <v>sources in 2023.</v>
      </c>
      <c r="C47" s="412"/>
      <c r="D47" s="412"/>
      <c r="E47" s="412"/>
      <c r="F47" s="412"/>
      <c r="G47" s="412"/>
      <c r="H47" s="412"/>
      <c r="I47" s="412"/>
    </row>
    <row r="48" spans="2:9" ht="15.75" x14ac:dyDescent="0.25">
      <c r="B48" s="412"/>
      <c r="C48" s="412"/>
      <c r="D48" s="412"/>
      <c r="E48" s="412"/>
      <c r="F48" s="412"/>
      <c r="G48" s="412"/>
      <c r="H48" s="412"/>
      <c r="I48" s="412"/>
    </row>
    <row r="49" spans="2:9" ht="15.75" x14ac:dyDescent="0.25">
      <c r="B49" s="429" t="s">
        <v>441</v>
      </c>
      <c r="C49" s="429"/>
      <c r="D49" s="430"/>
      <c r="E49" s="430"/>
      <c r="F49" s="430"/>
      <c r="G49" s="430"/>
      <c r="H49" s="430"/>
      <c r="I49" s="430"/>
    </row>
    <row r="50" spans="2:9" ht="15.75" x14ac:dyDescent="0.25">
      <c r="B50" s="429" t="s">
        <v>442</v>
      </c>
      <c r="C50" s="429"/>
      <c r="D50" s="430"/>
      <c r="E50" s="430"/>
      <c r="F50" s="430"/>
      <c r="G50" s="430"/>
      <c r="H50" s="430"/>
      <c r="I50" s="430"/>
    </row>
    <row r="51" spans="2:9" ht="15.75" x14ac:dyDescent="0.25">
      <c r="B51" s="429" t="s">
        <v>443</v>
      </c>
      <c r="C51" s="429"/>
      <c r="D51" s="430"/>
      <c r="E51" s="430"/>
      <c r="F51" s="430"/>
      <c r="G51" s="430"/>
      <c r="H51" s="430"/>
      <c r="I51" s="430"/>
    </row>
    <row r="52" spans="2:9" x14ac:dyDescent="0.2">
      <c r="B52" s="430"/>
      <c r="C52" s="430"/>
      <c r="D52" s="430"/>
      <c r="E52" s="430"/>
      <c r="F52" s="430"/>
      <c r="G52" s="430"/>
      <c r="H52" s="430"/>
      <c r="I52" s="430"/>
    </row>
    <row r="53" spans="2:9" ht="15.75" x14ac:dyDescent="0.25">
      <c r="B53" s="431" t="s">
        <v>444</v>
      </c>
      <c r="C53" s="430"/>
      <c r="D53" s="430"/>
      <c r="E53" s="430"/>
      <c r="F53" s="430"/>
      <c r="G53" s="430"/>
      <c r="H53" s="430"/>
      <c r="I53" s="430"/>
    </row>
    <row r="54" spans="2:9" x14ac:dyDescent="0.2">
      <c r="B54" s="430"/>
      <c r="C54" s="430"/>
      <c r="D54" s="430"/>
      <c r="E54" s="430"/>
      <c r="F54" s="430"/>
      <c r="G54" s="430"/>
      <c r="H54" s="430"/>
      <c r="I54" s="430"/>
    </row>
    <row r="55" spans="2:9" ht="15.75" x14ac:dyDescent="0.25">
      <c r="B55" s="429" t="s">
        <v>445</v>
      </c>
      <c r="C55" s="430"/>
      <c r="D55" s="430"/>
      <c r="E55" s="430"/>
      <c r="F55" s="430"/>
      <c r="G55" s="430"/>
      <c r="H55" s="430"/>
      <c r="I55" s="430"/>
    </row>
    <row r="56" spans="2:9" ht="15.75" x14ac:dyDescent="0.25">
      <c r="B56" s="429" t="s">
        <v>446</v>
      </c>
      <c r="C56" s="430"/>
      <c r="D56" s="430"/>
      <c r="E56" s="430"/>
      <c r="F56" s="430"/>
      <c r="G56" s="430"/>
      <c r="H56" s="430"/>
      <c r="I56" s="430"/>
    </row>
    <row r="57" spans="2:9" x14ac:dyDescent="0.2">
      <c r="B57" s="430"/>
      <c r="C57" s="430"/>
      <c r="D57" s="430"/>
      <c r="E57" s="430"/>
      <c r="F57" s="430"/>
      <c r="G57" s="430"/>
      <c r="H57" s="430"/>
      <c r="I57" s="430"/>
    </row>
    <row r="58" spans="2:9" ht="15.75" x14ac:dyDescent="0.25">
      <c r="B58" s="431" t="s">
        <v>447</v>
      </c>
      <c r="C58" s="429"/>
      <c r="D58" s="429"/>
      <c r="E58" s="429"/>
      <c r="F58" s="429"/>
      <c r="G58" s="430"/>
      <c r="H58" s="430"/>
      <c r="I58" s="430"/>
    </row>
    <row r="59" spans="2:9" ht="15.75" x14ac:dyDescent="0.25">
      <c r="B59" s="429"/>
      <c r="C59" s="429"/>
      <c r="D59" s="429"/>
      <c r="E59" s="429"/>
      <c r="F59" s="429"/>
      <c r="G59" s="430"/>
      <c r="H59" s="430"/>
      <c r="I59" s="430"/>
    </row>
    <row r="60" spans="2:9" ht="15.75" x14ac:dyDescent="0.25">
      <c r="B60" s="429" t="s">
        <v>448</v>
      </c>
      <c r="C60" s="429"/>
      <c r="D60" s="429"/>
      <c r="E60" s="429"/>
      <c r="F60" s="429"/>
      <c r="G60" s="430"/>
      <c r="H60" s="430"/>
      <c r="I60" s="430"/>
    </row>
    <row r="61" spans="2:9" ht="15.75" x14ac:dyDescent="0.25">
      <c r="B61" s="429" t="s">
        <v>449</v>
      </c>
      <c r="C61" s="429"/>
      <c r="D61" s="429"/>
      <c r="E61" s="429"/>
      <c r="F61" s="429"/>
      <c r="G61" s="430"/>
      <c r="H61" s="430"/>
      <c r="I61" s="430"/>
    </row>
    <row r="62" spans="2:9" ht="15.75" x14ac:dyDescent="0.25">
      <c r="B62" s="429" t="s">
        <v>450</v>
      </c>
      <c r="C62" s="429"/>
      <c r="D62" s="429"/>
      <c r="E62" s="429"/>
      <c r="F62" s="429"/>
      <c r="G62" s="430"/>
      <c r="H62" s="430"/>
      <c r="I62" s="430"/>
    </row>
    <row r="63" spans="2:9" ht="15.75" x14ac:dyDescent="0.25">
      <c r="B63" s="429" t="s">
        <v>451</v>
      </c>
      <c r="C63" s="429"/>
      <c r="D63" s="429"/>
      <c r="E63" s="429"/>
      <c r="F63" s="429"/>
      <c r="G63" s="430"/>
      <c r="H63" s="430"/>
      <c r="I63" s="430"/>
    </row>
    <row r="64" spans="2:9" x14ac:dyDescent="0.2">
      <c r="B64" s="432"/>
      <c r="C64" s="432"/>
      <c r="D64" s="432"/>
      <c r="E64" s="432"/>
      <c r="F64" s="432"/>
      <c r="G64" s="430"/>
      <c r="H64" s="430"/>
      <c r="I64" s="430"/>
    </row>
    <row r="65" spans="2:9" ht="15.75" x14ac:dyDescent="0.25">
      <c r="B65" s="429" t="s">
        <v>452</v>
      </c>
      <c r="C65" s="432"/>
      <c r="D65" s="432"/>
      <c r="E65" s="432"/>
      <c r="F65" s="432"/>
      <c r="G65" s="430"/>
      <c r="H65" s="430"/>
      <c r="I65" s="430"/>
    </row>
    <row r="66" spans="2:9" ht="15.75" x14ac:dyDescent="0.25">
      <c r="B66" s="429" t="s">
        <v>453</v>
      </c>
      <c r="C66" s="432"/>
      <c r="D66" s="432"/>
      <c r="E66" s="432"/>
      <c r="F66" s="432"/>
      <c r="G66" s="430"/>
      <c r="H66" s="430"/>
      <c r="I66" s="430"/>
    </row>
    <row r="67" spans="2:9" x14ac:dyDescent="0.2">
      <c r="B67" s="432"/>
      <c r="C67" s="432"/>
      <c r="D67" s="432"/>
      <c r="E67" s="432"/>
      <c r="F67" s="432"/>
      <c r="G67" s="430"/>
      <c r="H67" s="430"/>
      <c r="I67" s="430"/>
    </row>
    <row r="68" spans="2:9" ht="15.75" x14ac:dyDescent="0.25">
      <c r="B68" s="429" t="s">
        <v>454</v>
      </c>
      <c r="C68" s="432"/>
      <c r="D68" s="432"/>
      <c r="E68" s="432"/>
      <c r="F68" s="432"/>
      <c r="G68" s="430"/>
      <c r="H68" s="430"/>
      <c r="I68" s="430"/>
    </row>
    <row r="69" spans="2:9" ht="15.75" x14ac:dyDescent="0.25">
      <c r="B69" s="429" t="s">
        <v>455</v>
      </c>
      <c r="C69" s="432"/>
      <c r="D69" s="432"/>
      <c r="E69" s="432"/>
      <c r="F69" s="432"/>
      <c r="G69" s="430"/>
      <c r="H69" s="430"/>
      <c r="I69" s="430"/>
    </row>
    <row r="70" spans="2:9" x14ac:dyDescent="0.2">
      <c r="B70" s="432"/>
      <c r="C70" s="432"/>
      <c r="D70" s="432"/>
      <c r="E70" s="432"/>
      <c r="F70" s="432"/>
      <c r="G70" s="430"/>
      <c r="H70" s="430"/>
      <c r="I70" s="430"/>
    </row>
    <row r="71" spans="2:9" ht="15.75" x14ac:dyDescent="0.25">
      <c r="B71" s="431" t="s">
        <v>456</v>
      </c>
      <c r="C71" s="432"/>
      <c r="D71" s="432"/>
      <c r="E71" s="432"/>
      <c r="F71" s="432"/>
      <c r="G71" s="430"/>
      <c r="H71" s="430"/>
      <c r="I71" s="430"/>
    </row>
    <row r="72" spans="2:9" x14ac:dyDescent="0.2">
      <c r="B72" s="432"/>
      <c r="C72" s="432"/>
      <c r="D72" s="432"/>
      <c r="E72" s="432"/>
      <c r="F72" s="432"/>
      <c r="G72" s="430"/>
      <c r="H72" s="430"/>
      <c r="I72" s="430"/>
    </row>
    <row r="73" spans="2:9" ht="15.75" x14ac:dyDescent="0.25">
      <c r="B73" s="429" t="s">
        <v>457</v>
      </c>
      <c r="C73" s="432"/>
      <c r="D73" s="432"/>
      <c r="E73" s="432"/>
      <c r="F73" s="432"/>
      <c r="G73" s="430"/>
      <c r="H73" s="430"/>
      <c r="I73" s="430"/>
    </row>
    <row r="74" spans="2:9" ht="15.75" x14ac:dyDescent="0.25">
      <c r="B74" s="429" t="s">
        <v>458</v>
      </c>
      <c r="C74" s="432"/>
      <c r="D74" s="432"/>
      <c r="E74" s="432"/>
      <c r="F74" s="432"/>
      <c r="G74" s="430"/>
      <c r="H74" s="430"/>
      <c r="I74" s="430"/>
    </row>
    <row r="75" spans="2:9" x14ac:dyDescent="0.2">
      <c r="B75" s="432"/>
      <c r="C75" s="432"/>
      <c r="D75" s="432"/>
      <c r="E75" s="432"/>
      <c r="F75" s="432"/>
      <c r="G75" s="430"/>
      <c r="H75" s="430"/>
      <c r="I75" s="430"/>
    </row>
    <row r="76" spans="2:9" ht="15.75" x14ac:dyDescent="0.25">
      <c r="B76" s="431" t="s">
        <v>459</v>
      </c>
      <c r="C76" s="432"/>
      <c r="D76" s="432"/>
      <c r="E76" s="432"/>
      <c r="F76" s="432"/>
      <c r="G76" s="430"/>
      <c r="H76" s="430"/>
      <c r="I76" s="430"/>
    </row>
    <row r="77" spans="2:9" x14ac:dyDescent="0.2">
      <c r="B77" s="432"/>
      <c r="C77" s="432"/>
      <c r="D77" s="432"/>
      <c r="E77" s="432"/>
      <c r="F77" s="432"/>
      <c r="G77" s="430"/>
      <c r="H77" s="430"/>
      <c r="I77" s="430"/>
    </row>
    <row r="78" spans="2:9" ht="15.75" x14ac:dyDescent="0.25">
      <c r="B78" s="429" t="str">
        <f>CONCATENATE("If the ",G14," municipal budget has not been published and has not been submitted to the County")</f>
        <v>If the 2024 municipal budget has not been published and has not been submitted to the County</v>
      </c>
      <c r="C78" s="432"/>
      <c r="D78" s="432"/>
      <c r="E78" s="432"/>
      <c r="F78" s="432"/>
      <c r="G78" s="430"/>
      <c r="H78" s="430"/>
      <c r="I78" s="430"/>
    </row>
    <row r="79" spans="2:9" ht="15.75" x14ac:dyDescent="0.25">
      <c r="B79" s="429" t="s">
        <v>460</v>
      </c>
      <c r="C79" s="432"/>
      <c r="D79" s="432"/>
      <c r="E79" s="432"/>
      <c r="F79" s="432"/>
      <c r="G79" s="430"/>
      <c r="H79" s="430"/>
      <c r="I79" s="430"/>
    </row>
    <row r="80" spans="2:9" x14ac:dyDescent="0.2">
      <c r="B80" s="432"/>
      <c r="C80" s="432"/>
      <c r="D80" s="432"/>
      <c r="E80" s="432"/>
      <c r="F80" s="432"/>
      <c r="G80" s="430"/>
      <c r="H80" s="430"/>
      <c r="I80" s="430"/>
    </row>
    <row r="81" spans="2:9" ht="15.75" x14ac:dyDescent="0.25">
      <c r="B81" s="431" t="s">
        <v>289</v>
      </c>
      <c r="C81" s="432"/>
      <c r="D81" s="432"/>
      <c r="E81" s="432"/>
      <c r="F81" s="432"/>
      <c r="G81" s="430"/>
      <c r="H81" s="430"/>
      <c r="I81" s="430"/>
    </row>
    <row r="82" spans="2:9" x14ac:dyDescent="0.2">
      <c r="B82" s="432"/>
      <c r="C82" s="432"/>
      <c r="D82" s="432"/>
      <c r="E82" s="432"/>
      <c r="F82" s="432"/>
      <c r="G82" s="430"/>
      <c r="H82" s="430"/>
      <c r="I82" s="430"/>
    </row>
    <row r="83" spans="2:9" ht="15.75" x14ac:dyDescent="0.25">
      <c r="B83" s="429" t="s">
        <v>461</v>
      </c>
      <c r="C83" s="432"/>
      <c r="D83" s="432"/>
      <c r="E83" s="432"/>
      <c r="F83" s="432"/>
      <c r="G83" s="430"/>
      <c r="H83" s="430"/>
      <c r="I83" s="430"/>
    </row>
    <row r="84" spans="2:9" ht="15.75" x14ac:dyDescent="0.25">
      <c r="B84" s="429" t="str">
        <f>CONCATENATE("Budget Year ",G14," is equal to or greater than that for Current Year Estimate ",E14,".")</f>
        <v>Budget Year 2024 is equal to or greater than that for Current Year Estimate 2023.</v>
      </c>
      <c r="C84" s="432"/>
      <c r="D84" s="432"/>
      <c r="E84" s="432"/>
      <c r="F84" s="432"/>
      <c r="G84" s="430"/>
      <c r="H84" s="430"/>
      <c r="I84" s="430"/>
    </row>
    <row r="85" spans="2:9" x14ac:dyDescent="0.2">
      <c r="B85" s="432"/>
      <c r="C85" s="432"/>
      <c r="D85" s="432"/>
      <c r="E85" s="432"/>
      <c r="F85" s="432"/>
      <c r="G85" s="430"/>
      <c r="H85" s="430"/>
      <c r="I85" s="430"/>
    </row>
    <row r="86" spans="2:9" ht="15.75" x14ac:dyDescent="0.25">
      <c r="B86" s="429" t="s">
        <v>462</v>
      </c>
      <c r="C86" s="432"/>
      <c r="D86" s="432"/>
      <c r="E86" s="432"/>
      <c r="F86" s="432"/>
      <c r="G86" s="430"/>
      <c r="H86" s="430"/>
      <c r="I86" s="430"/>
    </row>
    <row r="87" spans="2:9" ht="15.75" x14ac:dyDescent="0.25">
      <c r="B87" s="429" t="s">
        <v>463</v>
      </c>
      <c r="C87" s="432"/>
      <c r="D87" s="432"/>
      <c r="E87" s="432"/>
      <c r="F87" s="432"/>
      <c r="G87" s="430"/>
      <c r="H87" s="430"/>
      <c r="I87" s="430"/>
    </row>
    <row r="88" spans="2:9" ht="15.75" x14ac:dyDescent="0.25">
      <c r="B88" s="429" t="s">
        <v>464</v>
      </c>
      <c r="C88" s="432"/>
      <c r="D88" s="432"/>
      <c r="E88" s="432"/>
      <c r="F88" s="432"/>
      <c r="G88" s="430"/>
      <c r="H88" s="430"/>
      <c r="I88" s="430"/>
    </row>
    <row r="89" spans="2:9" ht="15.75" x14ac:dyDescent="0.25">
      <c r="B89" s="429" t="str">
        <f>CONCATENATE("purpose for the previous (",E14,") year.")</f>
        <v>purpose for the previous (2023) year.</v>
      </c>
      <c r="C89" s="432"/>
      <c r="D89" s="432"/>
      <c r="E89" s="432"/>
      <c r="F89" s="432"/>
      <c r="G89" s="430"/>
      <c r="H89" s="430"/>
      <c r="I89" s="430"/>
    </row>
    <row r="90" spans="2:9" x14ac:dyDescent="0.2">
      <c r="B90" s="432"/>
      <c r="C90" s="432"/>
      <c r="D90" s="432"/>
      <c r="E90" s="432"/>
      <c r="F90" s="432"/>
      <c r="G90" s="430"/>
      <c r="H90" s="430"/>
      <c r="I90" s="430"/>
    </row>
    <row r="91" spans="2:9" ht="15.75" x14ac:dyDescent="0.25">
      <c r="B91" s="429" t="str">
        <f>CONCATENATE("Next, look to see if delinquent tax for ",G14," is budgeted. Often this line is budgeted at $0 or left")</f>
        <v>Next, look to see if delinquent tax for 2024 is budgeted. Often this line is budgeted at $0 or left</v>
      </c>
      <c r="C91" s="432"/>
      <c r="D91" s="432"/>
      <c r="E91" s="432"/>
      <c r="F91" s="432"/>
      <c r="G91" s="430"/>
      <c r="H91" s="430"/>
      <c r="I91" s="430"/>
    </row>
    <row r="92" spans="2:9" ht="15.75" x14ac:dyDescent="0.25">
      <c r="B92" s="429" t="s">
        <v>465</v>
      </c>
      <c r="C92" s="432"/>
      <c r="D92" s="432"/>
      <c r="E92" s="432"/>
      <c r="F92" s="432"/>
      <c r="G92" s="430"/>
      <c r="H92" s="430"/>
      <c r="I92" s="430"/>
    </row>
    <row r="93" spans="2:9" ht="15.75" x14ac:dyDescent="0.25">
      <c r="B93" s="429" t="s">
        <v>466</v>
      </c>
      <c r="C93" s="432"/>
      <c r="D93" s="432"/>
      <c r="E93" s="432"/>
      <c r="F93" s="432"/>
      <c r="G93" s="430"/>
      <c r="H93" s="430"/>
      <c r="I93" s="430"/>
    </row>
    <row r="94" spans="2:9" ht="15.75" x14ac:dyDescent="0.25">
      <c r="B94" s="429" t="s">
        <v>467</v>
      </c>
      <c r="C94" s="432"/>
      <c r="D94" s="432"/>
      <c r="E94" s="432"/>
      <c r="F94" s="432"/>
      <c r="G94" s="430"/>
      <c r="H94" s="430"/>
      <c r="I94" s="430"/>
    </row>
    <row r="95" spans="2:9" x14ac:dyDescent="0.2">
      <c r="B95" s="432"/>
      <c r="C95" s="432"/>
      <c r="D95" s="432"/>
      <c r="E95" s="432"/>
      <c r="F95" s="432"/>
      <c r="G95" s="430"/>
      <c r="H95" s="430"/>
      <c r="I95" s="430"/>
    </row>
    <row r="96" spans="2:9" ht="15.75" x14ac:dyDescent="0.25">
      <c r="B96" s="431" t="s">
        <v>468</v>
      </c>
      <c r="C96" s="432"/>
      <c r="D96" s="432"/>
      <c r="E96" s="432"/>
      <c r="F96" s="432"/>
      <c r="G96" s="430"/>
      <c r="H96" s="430"/>
      <c r="I96" s="430"/>
    </row>
    <row r="97" spans="2:9" x14ac:dyDescent="0.2">
      <c r="B97" s="432"/>
      <c r="C97" s="432"/>
      <c r="D97" s="432"/>
      <c r="E97" s="432"/>
      <c r="F97" s="432"/>
      <c r="G97" s="430"/>
      <c r="H97" s="430"/>
      <c r="I97" s="430"/>
    </row>
    <row r="98" spans="2:9" ht="15.75" x14ac:dyDescent="0.25">
      <c r="B98" s="429" t="s">
        <v>469</v>
      </c>
      <c r="C98" s="432"/>
      <c r="D98" s="432"/>
      <c r="E98" s="432"/>
      <c r="F98" s="432"/>
      <c r="G98" s="430"/>
      <c r="H98" s="430"/>
      <c r="I98" s="430"/>
    </row>
    <row r="99" spans="2:9" ht="15.75" x14ac:dyDescent="0.25">
      <c r="B99" s="429" t="s">
        <v>470</v>
      </c>
      <c r="C99" s="432"/>
      <c r="D99" s="432"/>
      <c r="E99" s="432"/>
      <c r="F99" s="432"/>
      <c r="G99" s="430"/>
      <c r="H99" s="430"/>
      <c r="I99" s="430"/>
    </row>
    <row r="100" spans="2:9" x14ac:dyDescent="0.2">
      <c r="B100" s="432"/>
      <c r="C100" s="432"/>
      <c r="D100" s="432"/>
      <c r="E100" s="432"/>
      <c r="F100" s="432"/>
      <c r="G100" s="430"/>
      <c r="H100" s="430"/>
      <c r="I100" s="430"/>
    </row>
    <row r="101" spans="2:9" ht="15.75" x14ac:dyDescent="0.25">
      <c r="B101" s="429" t="s">
        <v>471</v>
      </c>
      <c r="C101" s="432"/>
      <c r="D101" s="432"/>
      <c r="E101" s="432"/>
      <c r="F101" s="432"/>
      <c r="G101" s="430"/>
      <c r="H101" s="430"/>
      <c r="I101" s="430"/>
    </row>
    <row r="102" spans="2:9" ht="15.75" x14ac:dyDescent="0.25">
      <c r="B102" s="429" t="s">
        <v>472</v>
      </c>
      <c r="C102" s="432"/>
      <c r="D102" s="432"/>
      <c r="E102" s="432"/>
      <c r="F102" s="432"/>
      <c r="G102" s="430"/>
      <c r="H102" s="430"/>
      <c r="I102" s="430"/>
    </row>
    <row r="103" spans="2:9" ht="15.75" x14ac:dyDescent="0.25">
      <c r="B103" s="429" t="s">
        <v>473</v>
      </c>
      <c r="C103" s="432"/>
      <c r="D103" s="432"/>
      <c r="E103" s="432"/>
      <c r="F103" s="432"/>
      <c r="G103" s="430"/>
      <c r="H103" s="430"/>
      <c r="I103" s="430"/>
    </row>
    <row r="104" spans="2:9" ht="15.75" x14ac:dyDescent="0.25">
      <c r="B104" s="429" t="s">
        <v>474</v>
      </c>
      <c r="C104" s="432"/>
      <c r="D104" s="432"/>
      <c r="E104" s="432"/>
      <c r="F104" s="432"/>
      <c r="G104" s="430"/>
      <c r="H104" s="430"/>
      <c r="I104" s="430"/>
    </row>
    <row r="105" spans="2:9" ht="15.75" x14ac:dyDescent="0.25">
      <c r="B105" s="452" t="s">
        <v>558</v>
      </c>
      <c r="C105" s="453"/>
      <c r="D105" s="453"/>
      <c r="E105" s="453"/>
      <c r="F105" s="453"/>
      <c r="G105" s="430"/>
      <c r="H105" s="430"/>
      <c r="I105" s="430"/>
    </row>
    <row r="108" spans="2:9" x14ac:dyDescent="0.2">
      <c r="G108" s="433"/>
    </row>
  </sheetData>
  <sheetProtection sheet="1"/>
  <mergeCells count="6">
    <mergeCell ref="B43:I43"/>
    <mergeCell ref="B2:I2"/>
    <mergeCell ref="B3:I3"/>
    <mergeCell ref="B5:I5"/>
    <mergeCell ref="B10:I10"/>
    <mergeCell ref="B36:I36"/>
  </mergeCells>
  <hyperlinks>
    <hyperlink ref="B105" r:id="rId1"/>
  </hyperlinks>
  <pageMargins left="0.7" right="0.7" top="0.75" bottom="0.75" header="0.25" footer="0.25"/>
  <pageSetup scale="80" orientation="portrait" blackAndWhite="1" r:id="rId2"/>
  <headerFooter>
    <oddHeader>&amp;RState of Kansas
City</oddHeader>
  </headerFooter>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134"/>
  <sheetViews>
    <sheetView topLeftCell="A22" zoomScale="90" zoomScaleNormal="90" zoomScaleSheetLayoutView="100" workbookViewId="0">
      <selection activeCell="E32" sqref="E32"/>
    </sheetView>
  </sheetViews>
  <sheetFormatPr defaultColWidth="8.88671875" defaultRowHeight="15.75" x14ac:dyDescent="0.2"/>
  <cols>
    <col min="1" max="1" width="2.44140625" style="26" customWidth="1"/>
    <col min="2" max="2" width="31.109375" style="26" customWidth="1"/>
    <col min="3" max="4" width="15.77734375" style="26" customWidth="1"/>
    <col min="5" max="5" width="16.33203125" style="26" customWidth="1"/>
    <col min="6" max="6" width="6.88671875" style="26" customWidth="1"/>
    <col min="7" max="7" width="10.21875" style="26" customWidth="1"/>
    <col min="8" max="8" width="8.88671875" style="26" customWidth="1"/>
    <col min="9" max="9" width="5.5546875" style="26" customWidth="1"/>
    <col min="10" max="10" width="10" style="26" customWidth="1"/>
    <col min="11" max="16384" width="8.88671875" style="26"/>
  </cols>
  <sheetData>
    <row r="1" spans="2:5" x14ac:dyDescent="0.2">
      <c r="B1" s="47" t="str">
        <f>inputPrYr!D3</f>
        <v>Wellsville</v>
      </c>
      <c r="C1" s="28"/>
      <c r="D1" s="28"/>
      <c r="E1" s="80">
        <f>inputPrYr!C6</f>
        <v>2024</v>
      </c>
    </row>
    <row r="2" spans="2:5" x14ac:dyDescent="0.2">
      <c r="B2" s="28"/>
      <c r="C2" s="28"/>
      <c r="D2" s="28"/>
      <c r="E2" s="107"/>
    </row>
    <row r="3" spans="2:5" x14ac:dyDescent="0.2">
      <c r="B3" s="161"/>
      <c r="C3" s="28"/>
      <c r="D3" s="28"/>
      <c r="E3" s="80"/>
    </row>
    <row r="4" spans="2:5" x14ac:dyDescent="0.2">
      <c r="B4" s="260" t="s">
        <v>123</v>
      </c>
      <c r="C4" s="162"/>
      <c r="D4" s="162"/>
      <c r="E4" s="162"/>
    </row>
    <row r="5" spans="2:5" x14ac:dyDescent="0.2">
      <c r="B5" s="108" t="s">
        <v>59</v>
      </c>
      <c r="C5" s="442" t="s">
        <v>479</v>
      </c>
      <c r="D5" s="443" t="s">
        <v>480</v>
      </c>
      <c r="E5" s="87" t="s">
        <v>481</v>
      </c>
    </row>
    <row r="6" spans="2:5" x14ac:dyDescent="0.2">
      <c r="B6" s="332" t="str">
        <f>inputPrYr!B18</f>
        <v>General</v>
      </c>
      <c r="C6" s="138" t="str">
        <f>CONCATENATE("Actual for ",E1-2,"")</f>
        <v>Actual for 2022</v>
      </c>
      <c r="D6" s="138" t="str">
        <f>CONCATENATE("Estimate for ",E1-1,"")</f>
        <v>Estimate for 2023</v>
      </c>
      <c r="E6" s="122" t="str">
        <f>CONCATENATE("Year for ",E1,"")</f>
        <v>Year for 2024</v>
      </c>
    </row>
    <row r="7" spans="2:5" x14ac:dyDescent="0.2">
      <c r="B7" s="163" t="s">
        <v>137</v>
      </c>
      <c r="C7" s="164">
        <v>120922</v>
      </c>
      <c r="D7" s="166">
        <f>C109</f>
        <v>98723</v>
      </c>
      <c r="E7" s="141">
        <f>D109</f>
        <v>90027</v>
      </c>
    </row>
    <row r="8" spans="2:5" x14ac:dyDescent="0.2">
      <c r="B8" s="167" t="s">
        <v>139</v>
      </c>
      <c r="C8" s="102"/>
      <c r="D8" s="102"/>
      <c r="E8" s="52"/>
    </row>
    <row r="9" spans="2:5" x14ac:dyDescent="0.2">
      <c r="B9" s="163" t="s">
        <v>60</v>
      </c>
      <c r="C9" s="168">
        <v>653877</v>
      </c>
      <c r="D9" s="166">
        <f>IF(inputPrYr!H21&gt;0,inputPrYr!G22,inputPrYr!E18)</f>
        <v>771791</v>
      </c>
      <c r="E9" s="170" t="s">
        <v>49</v>
      </c>
    </row>
    <row r="10" spans="2:5" x14ac:dyDescent="0.2">
      <c r="B10" s="163" t="s">
        <v>61</v>
      </c>
      <c r="C10" s="168">
        <v>20301</v>
      </c>
      <c r="D10" s="168"/>
      <c r="E10" s="171"/>
    </row>
    <row r="11" spans="2:5" x14ac:dyDescent="0.2">
      <c r="B11" s="163" t="s">
        <v>62</v>
      </c>
      <c r="C11" s="168">
        <v>72314</v>
      </c>
      <c r="D11" s="168">
        <v>64770</v>
      </c>
      <c r="E11" s="141">
        <f>Mvalloc!D7</f>
        <v>64788</v>
      </c>
    </row>
    <row r="12" spans="2:5" x14ac:dyDescent="0.2">
      <c r="B12" s="163" t="s">
        <v>63</v>
      </c>
      <c r="C12" s="168">
        <v>1642</v>
      </c>
      <c r="D12" s="168">
        <v>1372</v>
      </c>
      <c r="E12" s="141">
        <f>Mvalloc!E7</f>
        <v>1413</v>
      </c>
    </row>
    <row r="13" spans="2:5" x14ac:dyDescent="0.2">
      <c r="B13" s="163" t="s">
        <v>130</v>
      </c>
      <c r="C13" s="168"/>
      <c r="D13" s="168">
        <v>160</v>
      </c>
      <c r="E13" s="141">
        <f>Mvalloc!F7</f>
        <v>524</v>
      </c>
    </row>
    <row r="14" spans="2:5" x14ac:dyDescent="0.2">
      <c r="B14" s="508" t="s">
        <v>528</v>
      </c>
      <c r="C14" s="168">
        <v>1971</v>
      </c>
      <c r="D14" s="168">
        <v>2332</v>
      </c>
      <c r="E14" s="141">
        <f>Mvalloc!G7</f>
        <v>1867</v>
      </c>
    </row>
    <row r="15" spans="2:5" x14ac:dyDescent="0.2">
      <c r="B15" s="508" t="s">
        <v>529</v>
      </c>
      <c r="C15" s="168"/>
      <c r="D15" s="168">
        <v>342</v>
      </c>
      <c r="E15" s="141">
        <f>Mvalloc!H7</f>
        <v>325</v>
      </c>
    </row>
    <row r="16" spans="2:5" x14ac:dyDescent="0.2">
      <c r="B16" s="163" t="s">
        <v>131</v>
      </c>
      <c r="C16" s="168"/>
      <c r="D16" s="168"/>
      <c r="E16" s="141">
        <f>inputOth!E17</f>
        <v>0</v>
      </c>
    </row>
    <row r="17" spans="2:5" x14ac:dyDescent="0.2">
      <c r="B17" s="163" t="s">
        <v>161</v>
      </c>
      <c r="C17" s="168"/>
      <c r="D17" s="168"/>
      <c r="E17" s="141">
        <f>inputOth!E47</f>
        <v>0</v>
      </c>
    </row>
    <row r="18" spans="2:5" x14ac:dyDescent="0.2">
      <c r="B18" s="163" t="s">
        <v>162</v>
      </c>
      <c r="C18" s="168"/>
      <c r="D18" s="168"/>
      <c r="E18" s="141">
        <f>inputOth!E48</f>
        <v>0</v>
      </c>
    </row>
    <row r="19" spans="2:5" x14ac:dyDescent="0.2">
      <c r="B19" s="164"/>
      <c r="C19" s="168"/>
      <c r="D19" s="168"/>
      <c r="E19" s="171"/>
    </row>
    <row r="20" spans="2:5" x14ac:dyDescent="0.2">
      <c r="B20" s="164" t="s">
        <v>66</v>
      </c>
      <c r="C20" s="168"/>
      <c r="D20" s="168"/>
      <c r="E20" s="171"/>
    </row>
    <row r="21" spans="2:5" x14ac:dyDescent="0.2">
      <c r="B21" s="164" t="s">
        <v>64</v>
      </c>
      <c r="C21" s="168">
        <v>3329</v>
      </c>
      <c r="D21" s="168"/>
      <c r="E21" s="171">
        <v>3600</v>
      </c>
    </row>
    <row r="22" spans="2:5" x14ac:dyDescent="0.2">
      <c r="B22" s="631" t="s">
        <v>346</v>
      </c>
      <c r="C22" s="168">
        <v>276725</v>
      </c>
      <c r="D22" s="171">
        <v>300000</v>
      </c>
      <c r="E22" s="171">
        <v>300000</v>
      </c>
    </row>
    <row r="23" spans="2:5" x14ac:dyDescent="0.2">
      <c r="B23" s="631" t="s">
        <v>347</v>
      </c>
      <c r="C23" s="168">
        <v>49911</v>
      </c>
      <c r="D23" s="171">
        <v>51000</v>
      </c>
      <c r="E23" s="171">
        <v>35000</v>
      </c>
    </row>
    <row r="24" spans="2:5" x14ac:dyDescent="0.2">
      <c r="B24" s="631" t="s">
        <v>348</v>
      </c>
      <c r="C24" s="168">
        <v>4154</v>
      </c>
      <c r="D24" s="171">
        <v>2000</v>
      </c>
      <c r="E24" s="171">
        <v>2000</v>
      </c>
    </row>
    <row r="25" spans="2:5" x14ac:dyDescent="0.2">
      <c r="B25" s="164" t="s">
        <v>994</v>
      </c>
      <c r="C25" s="168">
        <v>15605</v>
      </c>
      <c r="D25" s="171">
        <v>20000</v>
      </c>
      <c r="E25" s="171">
        <v>10000</v>
      </c>
    </row>
    <row r="26" spans="2:5" x14ac:dyDescent="0.2">
      <c r="B26" s="164" t="s">
        <v>995</v>
      </c>
      <c r="C26" s="168">
        <v>37900</v>
      </c>
      <c r="D26" s="171">
        <v>15200</v>
      </c>
      <c r="E26" s="171">
        <v>15000</v>
      </c>
    </row>
    <row r="27" spans="2:5" x14ac:dyDescent="0.2">
      <c r="B27" s="164" t="s">
        <v>996</v>
      </c>
      <c r="C27" s="168">
        <v>9823</v>
      </c>
      <c r="D27" s="171">
        <v>5000</v>
      </c>
      <c r="E27" s="171">
        <v>5000</v>
      </c>
    </row>
    <row r="28" spans="2:5" x14ac:dyDescent="0.2">
      <c r="B28" s="164" t="s">
        <v>997</v>
      </c>
      <c r="C28" s="168">
        <v>10675</v>
      </c>
      <c r="D28" s="171">
        <v>9500</v>
      </c>
      <c r="E28" s="171">
        <v>5000</v>
      </c>
    </row>
    <row r="29" spans="2:5" x14ac:dyDescent="0.2">
      <c r="B29" s="164" t="s">
        <v>998</v>
      </c>
      <c r="C29" s="168">
        <v>26400</v>
      </c>
      <c r="D29" s="171">
        <v>26400</v>
      </c>
      <c r="E29" s="171">
        <v>26400</v>
      </c>
    </row>
    <row r="30" spans="2:5" x14ac:dyDescent="0.2">
      <c r="B30" s="164" t="s">
        <v>999</v>
      </c>
      <c r="C30" s="168">
        <f>37381-8734-26820</f>
        <v>1827</v>
      </c>
      <c r="D30" s="171">
        <v>20000</v>
      </c>
      <c r="E30" s="171">
        <v>20000</v>
      </c>
    </row>
    <row r="31" spans="2:5" x14ac:dyDescent="0.2">
      <c r="B31" s="164" t="s">
        <v>1044</v>
      </c>
      <c r="C31" s="168"/>
      <c r="D31" s="168">
        <v>32760</v>
      </c>
      <c r="E31" s="171">
        <v>32760</v>
      </c>
    </row>
    <row r="32" spans="2:5" x14ac:dyDescent="0.2">
      <c r="B32" s="164" t="s">
        <v>1055</v>
      </c>
      <c r="C32" s="168"/>
      <c r="D32" s="168">
        <v>34694</v>
      </c>
      <c r="E32" s="171"/>
    </row>
    <row r="33" spans="2:5" x14ac:dyDescent="0.2">
      <c r="B33" s="164"/>
      <c r="C33" s="168"/>
      <c r="D33" s="168"/>
      <c r="E33" s="171"/>
    </row>
    <row r="34" spans="2:5" x14ac:dyDescent="0.2">
      <c r="B34" s="164"/>
      <c r="C34" s="168"/>
      <c r="D34" s="168"/>
      <c r="E34" s="171"/>
    </row>
    <row r="35" spans="2:5" x14ac:dyDescent="0.2">
      <c r="B35" s="164"/>
      <c r="C35" s="168"/>
      <c r="D35" s="168"/>
      <c r="E35" s="171"/>
    </row>
    <row r="36" spans="2:5" x14ac:dyDescent="0.2">
      <c r="B36" s="164"/>
      <c r="C36" s="168"/>
      <c r="D36" s="168"/>
      <c r="E36" s="171"/>
    </row>
    <row r="37" spans="2:5" x14ac:dyDescent="0.2">
      <c r="B37" s="164"/>
      <c r="C37" s="168"/>
      <c r="D37" s="168"/>
      <c r="E37" s="171"/>
    </row>
    <row r="38" spans="2:5" x14ac:dyDescent="0.2">
      <c r="B38" s="164"/>
      <c r="C38" s="168"/>
      <c r="D38" s="168"/>
      <c r="E38" s="171"/>
    </row>
    <row r="39" spans="2:5" x14ac:dyDescent="0.2">
      <c r="B39" s="164"/>
      <c r="C39" s="168"/>
      <c r="D39" s="168"/>
      <c r="E39" s="171"/>
    </row>
    <row r="40" spans="2:5" x14ac:dyDescent="0.2">
      <c r="B40" s="164"/>
      <c r="C40" s="168"/>
      <c r="D40" s="168"/>
      <c r="E40" s="171"/>
    </row>
    <row r="41" spans="2:5" x14ac:dyDescent="0.2">
      <c r="B41" s="164"/>
      <c r="C41" s="168"/>
      <c r="D41" s="168"/>
      <c r="E41" s="171"/>
    </row>
    <row r="42" spans="2:5" x14ac:dyDescent="0.2">
      <c r="B42" s="164"/>
      <c r="C42" s="168"/>
      <c r="D42" s="168"/>
      <c r="E42" s="171"/>
    </row>
    <row r="43" spans="2:5" x14ac:dyDescent="0.2">
      <c r="B43" s="164"/>
      <c r="C43" s="168"/>
      <c r="D43" s="168"/>
      <c r="E43" s="171"/>
    </row>
    <row r="44" spans="2:5" x14ac:dyDescent="0.2">
      <c r="B44" s="164"/>
      <c r="C44" s="168"/>
      <c r="D44" s="168"/>
      <c r="E44" s="171"/>
    </row>
    <row r="45" spans="2:5" x14ac:dyDescent="0.2">
      <c r="B45" s="164"/>
      <c r="C45" s="168"/>
      <c r="D45" s="168"/>
      <c r="E45" s="171"/>
    </row>
    <row r="46" spans="2:5" x14ac:dyDescent="0.2">
      <c r="B46" s="164"/>
      <c r="C46" s="168"/>
      <c r="D46" s="168"/>
      <c r="E46" s="171"/>
    </row>
    <row r="47" spans="2:5" x14ac:dyDescent="0.2">
      <c r="B47" s="164"/>
      <c r="C47" s="168"/>
      <c r="D47" s="168"/>
      <c r="E47" s="171"/>
    </row>
    <row r="48" spans="2:5" x14ac:dyDescent="0.2">
      <c r="B48" s="164"/>
      <c r="C48" s="168"/>
      <c r="D48" s="168"/>
      <c r="E48" s="171"/>
    </row>
    <row r="49" spans="2:5" x14ac:dyDescent="0.2">
      <c r="B49" s="164" t="s">
        <v>65</v>
      </c>
      <c r="C49" s="168"/>
      <c r="D49" s="168"/>
      <c r="E49" s="171"/>
    </row>
    <row r="50" spans="2:5" x14ac:dyDescent="0.2">
      <c r="B50" s="172" t="s">
        <v>67</v>
      </c>
      <c r="C50" s="168">
        <v>893</v>
      </c>
      <c r="D50" s="168"/>
      <c r="E50" s="171"/>
    </row>
    <row r="51" spans="2:5" x14ac:dyDescent="0.2">
      <c r="B51" s="184" t="s">
        <v>8</v>
      </c>
      <c r="C51" s="168"/>
      <c r="D51" s="168"/>
      <c r="E51" s="141">
        <f>'NR Rebate'!E6*-1</f>
        <v>0</v>
      </c>
    </row>
    <row r="52" spans="2:5" x14ac:dyDescent="0.2">
      <c r="B52" s="102" t="s">
        <v>9</v>
      </c>
      <c r="C52" s="168"/>
      <c r="D52" s="168"/>
      <c r="E52" s="171"/>
    </row>
    <row r="53" spans="2:5" x14ac:dyDescent="0.2">
      <c r="B53" s="163" t="s">
        <v>352</v>
      </c>
      <c r="C53" s="173" t="str">
        <f>IF(C54*0.1&lt;C52,"Exceed 10% Rule","")</f>
        <v/>
      </c>
      <c r="D53" s="173" t="str">
        <f>IF(D54*0.1&lt;D52,"Exceed 10% Rule","")</f>
        <v/>
      </c>
      <c r="E53" s="204" t="str">
        <f>IF(E54*0.1+E115&lt;E52,"Exceed 10% Rule","")</f>
        <v/>
      </c>
    </row>
    <row r="54" spans="2:5" x14ac:dyDescent="0.2">
      <c r="B54" s="175" t="s">
        <v>68</v>
      </c>
      <c r="C54" s="589">
        <f>SUM(C9:C52)</f>
        <v>1187347</v>
      </c>
      <c r="D54" s="589">
        <f>SUM(D9:D52)</f>
        <v>1357321</v>
      </c>
      <c r="E54" s="591">
        <f>SUM(E10:E52)</f>
        <v>523677</v>
      </c>
    </row>
    <row r="55" spans="2:5" x14ac:dyDescent="0.2">
      <c r="B55" s="175" t="s">
        <v>69</v>
      </c>
      <c r="C55" s="589">
        <f>C7+C54</f>
        <v>1308269</v>
      </c>
      <c r="D55" s="589">
        <f>D7+D54</f>
        <v>1456044</v>
      </c>
      <c r="E55" s="591">
        <f>E7+E54</f>
        <v>613704</v>
      </c>
    </row>
    <row r="56" spans="2:5" x14ac:dyDescent="0.2">
      <c r="B56" s="28"/>
      <c r="C56" s="28"/>
      <c r="D56" s="28"/>
      <c r="E56" s="28"/>
    </row>
    <row r="57" spans="2:5" x14ac:dyDescent="0.2">
      <c r="B57" s="80" t="s">
        <v>78</v>
      </c>
      <c r="C57" s="108">
        <f>IF(inputPrYr!D20&gt;0,7,6)</f>
        <v>7</v>
      </c>
      <c r="D57" s="109"/>
      <c r="E57" s="109"/>
    </row>
    <row r="58" spans="2:5" x14ac:dyDescent="0.2">
      <c r="B58" s="109"/>
      <c r="C58" s="109"/>
      <c r="D58" s="109"/>
      <c r="E58" s="109"/>
    </row>
    <row r="59" spans="2:5" x14ac:dyDescent="0.2">
      <c r="B59" s="47" t="str">
        <f>inputPrYr!D3</f>
        <v>Wellsville</v>
      </c>
      <c r="C59" s="28"/>
      <c r="D59" s="28"/>
      <c r="E59" s="107"/>
    </row>
    <row r="60" spans="2:5" x14ac:dyDescent="0.2">
      <c r="B60" s="28"/>
      <c r="C60" s="28"/>
      <c r="D60" s="28"/>
      <c r="E60" s="80"/>
    </row>
    <row r="61" spans="2:5" x14ac:dyDescent="0.2">
      <c r="B61" s="179" t="s">
        <v>122</v>
      </c>
      <c r="C61" s="135"/>
      <c r="D61" s="135"/>
      <c r="E61" s="135"/>
    </row>
    <row r="62" spans="2:5" x14ac:dyDescent="0.2">
      <c r="B62" s="28" t="s">
        <v>59</v>
      </c>
      <c r="C62" s="442" t="s">
        <v>479</v>
      </c>
      <c r="D62" s="443" t="s">
        <v>480</v>
      </c>
      <c r="E62" s="87" t="s">
        <v>481</v>
      </c>
    </row>
    <row r="63" spans="2:5" x14ac:dyDescent="0.2">
      <c r="B63" s="47" t="str">
        <f>inputPrYr!B18</f>
        <v>General</v>
      </c>
      <c r="C63" s="138" t="str">
        <f>CONCATENATE("Actual for ",E1-2,"")</f>
        <v>Actual for 2022</v>
      </c>
      <c r="D63" s="138" t="str">
        <f>CONCATENATE("Estimate for ",E1-1,"")</f>
        <v>Estimate for 2023</v>
      </c>
      <c r="E63" s="122" t="str">
        <f>CONCATENATE("Year for ",E1,"")</f>
        <v>Year for 2024</v>
      </c>
    </row>
    <row r="64" spans="2:5" x14ac:dyDescent="0.2">
      <c r="B64" s="180" t="s">
        <v>69</v>
      </c>
      <c r="C64" s="166">
        <f>C55</f>
        <v>1308269</v>
      </c>
      <c r="D64" s="166">
        <f>D55</f>
        <v>1456044</v>
      </c>
      <c r="E64" s="141">
        <f>E55</f>
        <v>613704</v>
      </c>
    </row>
    <row r="65" spans="2:6" x14ac:dyDescent="0.2">
      <c r="B65" s="167" t="s">
        <v>71</v>
      </c>
      <c r="C65" s="102"/>
      <c r="D65" s="102"/>
      <c r="E65" s="52"/>
    </row>
    <row r="66" spans="2:6" x14ac:dyDescent="0.2">
      <c r="B66" s="163" t="str">
        <f>'General Detail'!A7</f>
        <v>General Admistration Department</v>
      </c>
      <c r="C66" s="166">
        <f>'General Detail'!B15</f>
        <v>185102</v>
      </c>
      <c r="D66" s="166">
        <f>'General Detail'!C15</f>
        <v>172000</v>
      </c>
      <c r="E66" s="141">
        <f>'General Detail'!D15</f>
        <v>200000</v>
      </c>
    </row>
    <row r="67" spans="2:6" x14ac:dyDescent="0.2">
      <c r="B67" s="163" t="str">
        <f>'General Detail'!A16</f>
        <v>General Adminstration Court</v>
      </c>
      <c r="C67" s="166">
        <f>'General Detail'!B22</f>
        <v>4617</v>
      </c>
      <c r="D67" s="166">
        <f>'General Detail'!C22</f>
        <v>7500</v>
      </c>
      <c r="E67" s="141">
        <f>'General Detail'!D22</f>
        <v>10000</v>
      </c>
    </row>
    <row r="68" spans="2:6" x14ac:dyDescent="0.2">
      <c r="B68" s="163" t="str">
        <f>'General Detail'!A23</f>
        <v>Planning /Engineering Department</v>
      </c>
      <c r="C68" s="166">
        <f>'General Detail'!B29</f>
        <v>98342</v>
      </c>
      <c r="D68" s="166">
        <f>'General Detail'!C29</f>
        <v>120000</v>
      </c>
      <c r="E68" s="141">
        <f>'General Detail'!D29</f>
        <v>150000</v>
      </c>
      <c r="F68" s="182"/>
    </row>
    <row r="69" spans="2:6" x14ac:dyDescent="0.2">
      <c r="B69" s="163" t="str">
        <f>'General Detail'!A30</f>
        <v>Pool Operations</v>
      </c>
      <c r="C69" s="166">
        <f>'General Detail'!B35</f>
        <v>59107</v>
      </c>
      <c r="D69" s="166">
        <f>'General Detail'!C35</f>
        <v>50000</v>
      </c>
      <c r="E69" s="141">
        <f>'General Detail'!D35</f>
        <v>50000</v>
      </c>
      <c r="F69" s="182"/>
    </row>
    <row r="70" spans="2:6" x14ac:dyDescent="0.2">
      <c r="B70" s="163" t="str">
        <f>'General Detail'!A36</f>
        <v>Police Department</v>
      </c>
      <c r="C70" s="166">
        <f>'General Detail'!B42</f>
        <v>479991</v>
      </c>
      <c r="D70" s="166">
        <f>'General Detail'!C42</f>
        <v>524401</v>
      </c>
      <c r="E70" s="141">
        <f>'General Detail'!D42</f>
        <v>503803</v>
      </c>
    </row>
    <row r="71" spans="2:6" x14ac:dyDescent="0.2">
      <c r="B71" s="163" t="str">
        <f>'General Detail'!A43</f>
        <v>Street Department</v>
      </c>
      <c r="C71" s="166">
        <f>'General Detail'!B49</f>
        <v>163975</v>
      </c>
      <c r="D71" s="166">
        <f>'General Detail'!C49</f>
        <v>185116</v>
      </c>
      <c r="E71" s="141">
        <f>'General Detail'!D49</f>
        <v>191000</v>
      </c>
    </row>
    <row r="72" spans="2:6" x14ac:dyDescent="0.2">
      <c r="B72" s="163" t="str">
        <f>'General Detail'!A50</f>
        <v>Cementary Maintenance</v>
      </c>
      <c r="C72" s="166">
        <f>'General Detail'!B56</f>
        <v>20890</v>
      </c>
      <c r="D72" s="166">
        <f>'General Detail'!C56</f>
        <v>35400</v>
      </c>
      <c r="E72" s="141">
        <f>'General Detail'!D56</f>
        <v>36460</v>
      </c>
    </row>
    <row r="73" spans="2:6" x14ac:dyDescent="0.2">
      <c r="B73" s="163" t="str">
        <f>'General Detail'!A57</f>
        <v>Park Department</v>
      </c>
      <c r="C73" s="166">
        <f>'General Detail'!B63</f>
        <v>58646</v>
      </c>
      <c r="D73" s="166">
        <f>'General Detail'!C63</f>
        <v>32250</v>
      </c>
      <c r="E73" s="141">
        <f>'General Detail'!D63</f>
        <v>33800</v>
      </c>
    </row>
    <row r="74" spans="2:6" x14ac:dyDescent="0.2">
      <c r="B74" s="163">
        <f>'General Detail'!A75</f>
        <v>0</v>
      </c>
      <c r="C74" s="166">
        <f>'General Detail'!B81</f>
        <v>0</v>
      </c>
      <c r="D74" s="166">
        <f>'General Detail'!C81</f>
        <v>0</v>
      </c>
      <c r="E74" s="141">
        <f>'General Detail'!D81</f>
        <v>0</v>
      </c>
    </row>
    <row r="75" spans="2:6" x14ac:dyDescent="0.2">
      <c r="B75" s="163">
        <f>'General Detail'!A82</f>
        <v>0</v>
      </c>
      <c r="C75" s="166">
        <f>'General Detail'!B88</f>
        <v>0</v>
      </c>
      <c r="D75" s="166">
        <f>'General Detail'!C88</f>
        <v>0</v>
      </c>
      <c r="E75" s="141">
        <f>'General Detail'!D88</f>
        <v>0</v>
      </c>
    </row>
    <row r="76" spans="2:6" x14ac:dyDescent="0.2">
      <c r="B76" s="163">
        <f>'General Detail'!A89</f>
        <v>0</v>
      </c>
      <c r="C76" s="166">
        <f>'General Detail'!B95</f>
        <v>0</v>
      </c>
      <c r="D76" s="166">
        <f>'General Detail'!C95</f>
        <v>0</v>
      </c>
      <c r="E76" s="141">
        <f>'General Detail'!D95</f>
        <v>0</v>
      </c>
    </row>
    <row r="77" spans="2:6" x14ac:dyDescent="0.2">
      <c r="B77" s="163">
        <f>'General Detail'!A96</f>
        <v>0</v>
      </c>
      <c r="C77" s="166">
        <f>'General Detail'!B101</f>
        <v>0</v>
      </c>
      <c r="D77" s="166">
        <f>'General Detail'!C101</f>
        <v>0</v>
      </c>
      <c r="E77" s="141">
        <f>'General Detail'!D101</f>
        <v>0</v>
      </c>
    </row>
    <row r="78" spans="2:6" x14ac:dyDescent="0.2">
      <c r="B78" s="163">
        <f>'General Detail'!A102</f>
        <v>0</v>
      </c>
      <c r="C78" s="166">
        <f>'General Detail'!B108</f>
        <v>0</v>
      </c>
      <c r="D78" s="166">
        <f>'General Detail'!C108</f>
        <v>0</v>
      </c>
      <c r="E78" s="141">
        <f>'General Detail'!D108</f>
        <v>0</v>
      </c>
    </row>
    <row r="79" spans="2:6" x14ac:dyDescent="0.2">
      <c r="B79" s="163">
        <f>'General Detail'!A109</f>
        <v>0</v>
      </c>
      <c r="C79" s="166">
        <f>'General Detail'!B115</f>
        <v>0</v>
      </c>
      <c r="D79" s="166">
        <f>'General Detail'!C115</f>
        <v>0</v>
      </c>
      <c r="E79" s="141">
        <f>'General Detail'!D115</f>
        <v>0</v>
      </c>
    </row>
    <row r="80" spans="2:6" x14ac:dyDescent="0.2">
      <c r="B80" s="163">
        <f>'General Detail'!A116</f>
        <v>0</v>
      </c>
      <c r="C80" s="166">
        <f>'General Detail'!B122</f>
        <v>0</v>
      </c>
      <c r="D80" s="166">
        <f>'General Detail'!C122</f>
        <v>0</v>
      </c>
      <c r="E80" s="141">
        <f>'General Detail'!D122</f>
        <v>0</v>
      </c>
    </row>
    <row r="81" spans="2:11" x14ac:dyDescent="0.2">
      <c r="B81" s="163">
        <f>'General Detail'!A123</f>
        <v>0</v>
      </c>
      <c r="C81" s="166">
        <f>'General Detail'!B129</f>
        <v>0</v>
      </c>
      <c r="D81" s="166">
        <f>'General Detail'!C129</f>
        <v>0</v>
      </c>
      <c r="E81" s="141">
        <f>'General Detail'!D129</f>
        <v>0</v>
      </c>
    </row>
    <row r="82" spans="2:11" x14ac:dyDescent="0.2">
      <c r="B82" s="163" t="s">
        <v>322</v>
      </c>
      <c r="C82" s="253">
        <f>SUM(C66:C81)</f>
        <v>1070670</v>
      </c>
      <c r="D82" s="253">
        <f>SUM(D66:D81)</f>
        <v>1126667</v>
      </c>
      <c r="E82" s="194">
        <f>SUM(E66:E81)</f>
        <v>1175063</v>
      </c>
    </row>
    <row r="83" spans="2:11" x14ac:dyDescent="0.2">
      <c r="B83" s="172" t="s">
        <v>1008</v>
      </c>
      <c r="C83" s="168">
        <v>1000</v>
      </c>
      <c r="D83" s="168"/>
      <c r="E83" s="171"/>
      <c r="G83" s="692" t="str">
        <f>CONCATENATE("Desired Carryover Into ",E1+1,"")</f>
        <v>Desired Carryover Into 2025</v>
      </c>
      <c r="H83" s="693"/>
      <c r="I83" s="693"/>
      <c r="J83" s="694"/>
    </row>
    <row r="84" spans="2:11" x14ac:dyDescent="0.2">
      <c r="B84" s="172" t="s">
        <v>1010</v>
      </c>
      <c r="C84" s="168"/>
      <c r="D84" s="168"/>
      <c r="E84" s="171">
        <v>24000</v>
      </c>
      <c r="G84" s="337"/>
      <c r="H84" s="334"/>
      <c r="I84" s="334"/>
      <c r="J84" s="338"/>
    </row>
    <row r="85" spans="2:11" x14ac:dyDescent="0.2">
      <c r="B85" s="172" t="s">
        <v>1009</v>
      </c>
      <c r="C85" s="168">
        <v>11215</v>
      </c>
      <c r="D85" s="168">
        <v>16200</v>
      </c>
      <c r="E85" s="171"/>
      <c r="G85" s="348" t="s">
        <v>349</v>
      </c>
      <c r="H85" s="342"/>
      <c r="I85" s="342"/>
      <c r="J85" s="336">
        <v>0</v>
      </c>
    </row>
    <row r="86" spans="2:11" x14ac:dyDescent="0.2">
      <c r="B86" s="172" t="s">
        <v>1042</v>
      </c>
      <c r="C86" s="168"/>
      <c r="D86" s="168"/>
      <c r="E86" s="171">
        <v>17000</v>
      </c>
      <c r="G86" s="352" t="s">
        <v>350</v>
      </c>
      <c r="H86" s="333"/>
      <c r="I86" s="335"/>
      <c r="J86" s="351" t="str">
        <f>IF(J85=0,"",ROUND((J85+E115-G98)/inputOth!E7*1000,3)-General!G103)</f>
        <v/>
      </c>
    </row>
    <row r="87" spans="2:11" x14ac:dyDescent="0.2">
      <c r="B87" s="183" t="s">
        <v>1041</v>
      </c>
      <c r="C87" s="168"/>
      <c r="D87" s="168"/>
      <c r="E87" s="171">
        <v>74000</v>
      </c>
      <c r="G87" s="370" t="str">
        <f>CONCATENATE("",E1," Total Expenditures Must Be:")</f>
        <v>2024 Total Expenditures Must Be:</v>
      </c>
      <c r="H87" s="371"/>
      <c r="I87" s="372"/>
      <c r="J87" s="350">
        <f>IF(J85&gt;0,IF(E112&lt;E55,IF(J85=G98,E112,((J85-G98)*(1-D114))+E55),E112+(J85-G98)),0)</f>
        <v>0</v>
      </c>
    </row>
    <row r="88" spans="2:11" x14ac:dyDescent="0.2">
      <c r="B88" s="172" t="s">
        <v>1011</v>
      </c>
      <c r="C88" s="168"/>
      <c r="D88" s="168">
        <v>21000</v>
      </c>
      <c r="E88" s="171"/>
      <c r="G88" s="373" t="s">
        <v>422</v>
      </c>
      <c r="H88" s="374"/>
      <c r="I88" s="375"/>
      <c r="J88" s="395">
        <f>IF(J85&gt;0,J87-E112,0)</f>
        <v>0</v>
      </c>
    </row>
    <row r="89" spans="2:11" x14ac:dyDescent="0.2">
      <c r="B89" s="183" t="s">
        <v>1012</v>
      </c>
      <c r="C89" s="168"/>
      <c r="D89" s="168"/>
      <c r="E89" s="171">
        <v>50000</v>
      </c>
    </row>
    <row r="90" spans="2:11" x14ac:dyDescent="0.2">
      <c r="B90" s="183" t="s">
        <v>1040</v>
      </c>
      <c r="C90" s="168">
        <f>11567+11646</f>
        <v>23213</v>
      </c>
      <c r="D90" s="168">
        <v>15659</v>
      </c>
      <c r="E90" s="171">
        <v>15659</v>
      </c>
      <c r="G90" s="692" t="str">
        <f>CONCATENATE("Projected Carryover Into ",E1+1,"")</f>
        <v>Projected Carryover Into 2025</v>
      </c>
      <c r="H90" s="700"/>
      <c r="I90" s="700"/>
      <c r="J90" s="701"/>
    </row>
    <row r="91" spans="2:11" x14ac:dyDescent="0.2">
      <c r="B91" s="183" t="s">
        <v>1013</v>
      </c>
      <c r="C91" s="168">
        <v>46618</v>
      </c>
      <c r="D91" s="168">
        <v>50000</v>
      </c>
      <c r="E91" s="171"/>
      <c r="G91" s="337"/>
      <c r="H91" s="334"/>
      <c r="I91" s="334"/>
      <c r="J91" s="338"/>
    </row>
    <row r="92" spans="2:11" x14ac:dyDescent="0.2">
      <c r="B92" s="183" t="s">
        <v>1014</v>
      </c>
      <c r="C92" s="168"/>
      <c r="D92" s="168"/>
      <c r="E92" s="171"/>
      <c r="G92" s="339">
        <f>D109</f>
        <v>90027</v>
      </c>
      <c r="H92" s="340" t="str">
        <f>CONCATENATE("",E1-1," Ending Cash Balance (est.)")</f>
        <v>2023 Ending Cash Balance (est.)</v>
      </c>
      <c r="I92" s="341"/>
      <c r="J92" s="338"/>
    </row>
    <row r="93" spans="2:11" x14ac:dyDescent="0.2">
      <c r="B93" s="183" t="s">
        <v>1043</v>
      </c>
      <c r="C93" s="168">
        <v>6633</v>
      </c>
      <c r="D93" s="168"/>
      <c r="E93" s="171">
        <f>7500+1762</f>
        <v>9262</v>
      </c>
      <c r="G93" s="339">
        <f>E54</f>
        <v>523677</v>
      </c>
      <c r="H93" s="342" t="str">
        <f>CONCATENATE("",E1," Non-AV Receipts (est.)")</f>
        <v>2024 Non-AV Receipts (est.)</v>
      </c>
      <c r="I93" s="341"/>
      <c r="J93" s="338"/>
    </row>
    <row r="94" spans="2:11" x14ac:dyDescent="0.2">
      <c r="B94" s="183" t="s">
        <v>1015</v>
      </c>
      <c r="C94" s="168"/>
      <c r="D94" s="168">
        <v>59398</v>
      </c>
      <c r="E94" s="171">
        <v>59398</v>
      </c>
      <c r="G94" s="343">
        <f>IF(E114&gt;0,E113,E115)</f>
        <v>923878</v>
      </c>
      <c r="H94" s="342" t="str">
        <f>CONCATENATE("",E1," Ad Valorem Tax (est.)")</f>
        <v>2024 Ad Valorem Tax (est.)</v>
      </c>
      <c r="I94" s="341"/>
      <c r="J94" s="338"/>
      <c r="K94" s="377" t="str">
        <f>IF(G94=E115,"","Note: Does not include Delinquent Taxes")</f>
        <v>Note: Does not include Delinquent Taxes</v>
      </c>
    </row>
    <row r="95" spans="2:11" x14ac:dyDescent="0.2">
      <c r="B95" s="183" t="s">
        <v>1016</v>
      </c>
      <c r="C95" s="168">
        <v>24000</v>
      </c>
      <c r="D95" s="168"/>
      <c r="E95" s="171"/>
      <c r="G95" s="339">
        <f>SUM(G92:G94)</f>
        <v>1537582</v>
      </c>
      <c r="H95" s="342" t="str">
        <f>CONCATENATE("Total ",E1," Resources Available")</f>
        <v>Total 2024 Resources Available</v>
      </c>
      <c r="I95" s="341"/>
      <c r="J95" s="338"/>
    </row>
    <row r="96" spans="2:11" x14ac:dyDescent="0.2">
      <c r="B96" s="183" t="s">
        <v>1017</v>
      </c>
      <c r="C96" s="168"/>
      <c r="D96" s="168">
        <v>40000</v>
      </c>
      <c r="E96" s="171"/>
      <c r="G96" s="344"/>
      <c r="H96" s="342"/>
      <c r="I96" s="342"/>
      <c r="J96" s="338"/>
    </row>
    <row r="97" spans="2:10" x14ac:dyDescent="0.2">
      <c r="B97" s="183" t="s">
        <v>1053</v>
      </c>
      <c r="C97" s="168"/>
      <c r="D97" s="168"/>
      <c r="E97" s="171">
        <v>6000</v>
      </c>
      <c r="G97" s="343">
        <f>C108*0.05+C108</f>
        <v>1270023.3</v>
      </c>
      <c r="H97" s="342" t="str">
        <f>CONCATENATE("Less ",E1-2," Expenditures + 5%")</f>
        <v>Less 2022 Expenditures + 5%</v>
      </c>
      <c r="I97" s="341"/>
      <c r="J97" s="338"/>
    </row>
    <row r="98" spans="2:10" x14ac:dyDescent="0.2">
      <c r="B98" s="183" t="s">
        <v>1046</v>
      </c>
      <c r="C98" s="168"/>
      <c r="D98" s="168"/>
      <c r="E98" s="171">
        <v>20000</v>
      </c>
      <c r="G98" s="349">
        <f>G95-G97</f>
        <v>267558.69999999995</v>
      </c>
      <c r="H98" s="345" t="str">
        <f>CONCATENATE("Projected ",E1+1," Carryover (est.)")</f>
        <v>Projected 2025 Carryover (est.)</v>
      </c>
      <c r="I98" s="346"/>
      <c r="J98" s="347"/>
    </row>
    <row r="99" spans="2:10" x14ac:dyDescent="0.2">
      <c r="B99" s="183" t="s">
        <v>1018</v>
      </c>
      <c r="C99" s="168"/>
      <c r="D99" s="168">
        <v>20000</v>
      </c>
      <c r="E99" s="171">
        <v>25000</v>
      </c>
    </row>
    <row r="100" spans="2:10" x14ac:dyDescent="0.2">
      <c r="B100" s="183" t="s">
        <v>1019</v>
      </c>
      <c r="C100" s="168">
        <v>17093</v>
      </c>
      <c r="D100" s="168">
        <v>17093</v>
      </c>
      <c r="E100" s="171"/>
      <c r="G100" s="702" t="s">
        <v>722</v>
      </c>
      <c r="H100" s="703"/>
      <c r="I100" s="703"/>
      <c r="J100" s="704"/>
    </row>
    <row r="101" spans="2:10" x14ac:dyDescent="0.2">
      <c r="B101" s="183" t="s">
        <v>1045</v>
      </c>
      <c r="C101" s="168"/>
      <c r="D101" s="168"/>
      <c r="E101" s="171">
        <v>19000</v>
      </c>
      <c r="G101" s="705"/>
      <c r="H101" s="706"/>
      <c r="I101" s="706"/>
      <c r="J101" s="707"/>
    </row>
    <row r="102" spans="2:10" x14ac:dyDescent="0.2">
      <c r="B102" s="183" t="s">
        <v>1020</v>
      </c>
      <c r="C102" s="168">
        <v>9104</v>
      </c>
      <c r="D102" s="168"/>
      <c r="E102" s="171"/>
      <c r="G102" s="577">
        <f>'Summary Budget Hearing Notice'!H15</f>
        <v>44.917999999999999</v>
      </c>
      <c r="H102" s="376" t="str">
        <f>CONCATENATE("",E1," Estimated Fund Mill Rate")</f>
        <v>2024 Estimated Fund Mill Rate</v>
      </c>
      <c r="I102" s="578"/>
      <c r="J102" s="579"/>
    </row>
    <row r="103" spans="2:10" x14ac:dyDescent="0.2">
      <c r="B103" s="183" t="s">
        <v>1051</v>
      </c>
      <c r="C103" s="168"/>
      <c r="D103" s="168"/>
      <c r="E103" s="171">
        <v>27200</v>
      </c>
      <c r="G103" s="580">
        <f>'Summary Budget Hearing Notice'!E15</f>
        <v>39.895000000000003</v>
      </c>
      <c r="H103" s="376" t="str">
        <f>CONCATENATE("",E1-1," Fund Mill Rate")</f>
        <v>2023 Fund Mill Rate</v>
      </c>
      <c r="I103" s="578"/>
      <c r="J103" s="579"/>
    </row>
    <row r="104" spans="2:10" x14ac:dyDescent="0.2">
      <c r="B104" s="183" t="s">
        <v>1054</v>
      </c>
      <c r="C104" s="168"/>
      <c r="D104" s="168"/>
      <c r="E104" s="171">
        <v>16000</v>
      </c>
      <c r="G104" s="581">
        <f>inputOth!D20</f>
        <v>50.973999999999997</v>
      </c>
      <c r="H104" s="582" t="s">
        <v>723</v>
      </c>
      <c r="I104" s="578"/>
      <c r="J104" s="579"/>
    </row>
    <row r="105" spans="2:10" x14ac:dyDescent="0.2">
      <c r="B105" s="184" t="str">
        <f>CONCATENATE("Cash Forward (",E1," column)")</f>
        <v>Cash Forward (2024 column)</v>
      </c>
      <c r="C105" s="168"/>
      <c r="D105" s="168"/>
      <c r="E105" s="171"/>
      <c r="G105" s="577" t="e">
        <f>'Summary Budget Hearing Notice'!H52</f>
        <v>#REF!</v>
      </c>
      <c r="H105" s="376" t="str">
        <f>CONCATENATE(E1," Estimated Total Mill Rate")</f>
        <v>2024 Estimated Total Mill Rate</v>
      </c>
      <c r="I105" s="578"/>
      <c r="J105" s="579"/>
    </row>
    <row r="106" spans="2:10" x14ac:dyDescent="0.2">
      <c r="B106" s="184" t="s">
        <v>9</v>
      </c>
      <c r="C106" s="168"/>
      <c r="D106" s="168"/>
      <c r="E106" s="171"/>
      <c r="G106" s="583">
        <f>'Summary Budget Hearing Notice'!E52</f>
        <v>54.954999999999991</v>
      </c>
      <c r="H106" s="376" t="str">
        <f>CONCATENATE(E1-1," Total Mill Rate")</f>
        <v>2023 Total Mill Rate</v>
      </c>
      <c r="I106" s="578"/>
      <c r="J106" s="579"/>
    </row>
    <row r="107" spans="2:10" x14ac:dyDescent="0.2">
      <c r="B107" s="184" t="s">
        <v>353</v>
      </c>
      <c r="C107" s="173" t="str">
        <f>IF(C108*0.1&lt;C106,"Exceed 10% Rule","")</f>
        <v/>
      </c>
      <c r="D107" s="173" t="str">
        <f>IF(D108*0.1&lt;D106,"Exceed 10% Rule","")</f>
        <v/>
      </c>
      <c r="E107" s="204" t="str">
        <f>IF(E108*0.1&lt;E106,"Exceed 10% Rule","")</f>
        <v/>
      </c>
      <c r="G107" s="396"/>
      <c r="H107" s="383"/>
      <c r="I107" s="383"/>
      <c r="J107" s="403"/>
    </row>
    <row r="108" spans="2:10" x14ac:dyDescent="0.2">
      <c r="B108" s="175" t="s">
        <v>75</v>
      </c>
      <c r="C108" s="590">
        <f>SUM(C82:C106)</f>
        <v>1209546</v>
      </c>
      <c r="D108" s="590">
        <f>SUM(D82:D106)</f>
        <v>1366017</v>
      </c>
      <c r="E108" s="590">
        <f>SUM(E82:E106)</f>
        <v>1537582</v>
      </c>
      <c r="G108" s="708" t="s">
        <v>724</v>
      </c>
      <c r="H108" s="709"/>
      <c r="I108" s="709"/>
      <c r="J108" s="712" t="e">
        <f>IF(G105&gt;G104, "Yes", "No")</f>
        <v>#REF!</v>
      </c>
    </row>
    <row r="109" spans="2:10" x14ac:dyDescent="0.2">
      <c r="B109" s="93" t="s">
        <v>138</v>
      </c>
      <c r="C109" s="446">
        <f>C55-C108</f>
        <v>98723</v>
      </c>
      <c r="D109" s="446">
        <f>D55-D108</f>
        <v>90027</v>
      </c>
      <c r="E109" s="170" t="s">
        <v>49</v>
      </c>
      <c r="G109" s="710"/>
      <c r="H109" s="711"/>
      <c r="I109" s="711"/>
      <c r="J109" s="713"/>
    </row>
    <row r="110" spans="2:10" x14ac:dyDescent="0.2">
      <c r="B110" s="108" t="str">
        <f>CONCATENATE("",E1-2,"/",E1-1,"/",E1," Budget Authority Amount:")</f>
        <v>2022/2023/2024 Budget Authority Amount:</v>
      </c>
      <c r="C110" s="446">
        <f>inputOth!B65</f>
        <v>1215896</v>
      </c>
      <c r="D110" s="446">
        <f>inputPrYr!D18</f>
        <v>1367267</v>
      </c>
      <c r="E110" s="454">
        <f>E108</f>
        <v>1537582</v>
      </c>
      <c r="G110" s="714" t="e">
        <f>IF(J108="Yes", "Follow procedure prescribed by KSA 79-2988 to exceed the Revenue Neutral Rate.", " ")</f>
        <v>#REF!</v>
      </c>
      <c r="H110" s="714"/>
      <c r="I110" s="714"/>
      <c r="J110" s="714"/>
    </row>
    <row r="111" spans="2:10" ht="15.75" customHeight="1" x14ac:dyDescent="0.2">
      <c r="B111" s="80"/>
      <c r="C111" s="695" t="s">
        <v>320</v>
      </c>
      <c r="D111" s="696"/>
      <c r="E111" s="171"/>
      <c r="G111" s="715"/>
      <c r="H111" s="715"/>
      <c r="I111" s="715"/>
      <c r="J111" s="715"/>
    </row>
    <row r="112" spans="2:10" x14ac:dyDescent="0.2">
      <c r="B112" s="329" t="str">
        <f>CONCATENATE(C133,"     ",D133)</f>
        <v xml:space="preserve">     </v>
      </c>
      <c r="C112" s="697" t="s">
        <v>321</v>
      </c>
      <c r="D112" s="698"/>
      <c r="E112" s="141">
        <f>E108+E111</f>
        <v>1537582</v>
      </c>
      <c r="G112" s="715"/>
      <c r="H112" s="715"/>
      <c r="I112" s="715"/>
      <c r="J112" s="715"/>
    </row>
    <row r="113" spans="2:6" x14ac:dyDescent="0.2">
      <c r="B113" s="329" t="str">
        <f>CONCATENATE(C134,"     ",D134)</f>
        <v xml:space="preserve">     </v>
      </c>
      <c r="C113" s="186"/>
      <c r="D113" s="107" t="s">
        <v>76</v>
      </c>
      <c r="E113" s="446">
        <f>IF(E112-E55&gt;0,E112-E55,0)</f>
        <v>923878</v>
      </c>
      <c r="F113" s="185"/>
    </row>
    <row r="114" spans="2:6" x14ac:dyDescent="0.2">
      <c r="B114" s="107"/>
      <c r="C114" s="255" t="s">
        <v>319</v>
      </c>
      <c r="D114" s="450">
        <f>inputOth!$E$52</f>
        <v>1.4E-2</v>
      </c>
      <c r="E114" s="141">
        <f>ROUND(IF(D114&gt;0,(E113*D114),0),0)</f>
        <v>12934</v>
      </c>
      <c r="F114" s="293" t="str">
        <f>IF(E108/0.95-E108&lt;E111,"Exceeds 5%","")</f>
        <v/>
      </c>
    </row>
    <row r="115" spans="2:6" ht="16.5" thickBot="1" x14ac:dyDescent="0.25">
      <c r="B115" s="28"/>
      <c r="C115" s="676" t="str">
        <f>CONCATENATE("Amount of  ",$E$1-1," Ad Valorem Tax")</f>
        <v>Amount of  2023 Ad Valorem Tax</v>
      </c>
      <c r="D115" s="699"/>
      <c r="E115" s="380">
        <f>E113+E114</f>
        <v>936812</v>
      </c>
    </row>
    <row r="116" spans="2:6" ht="16.5" thickTop="1" x14ac:dyDescent="0.2">
      <c r="B116" s="28"/>
      <c r="C116" s="28"/>
      <c r="D116" s="28"/>
      <c r="E116" s="28"/>
    </row>
    <row r="117" spans="2:6" x14ac:dyDescent="0.2">
      <c r="B117" s="537" t="s">
        <v>539</v>
      </c>
      <c r="C117" s="69"/>
      <c r="D117" s="69"/>
      <c r="E117" s="511"/>
    </row>
    <row r="118" spans="2:6" x14ac:dyDescent="0.2">
      <c r="B118" s="396"/>
      <c r="C118" s="28"/>
      <c r="D118" s="28"/>
      <c r="E118" s="403"/>
    </row>
    <row r="119" spans="2:6" ht="15.75" customHeight="1" x14ac:dyDescent="0.2">
      <c r="B119" s="514"/>
      <c r="C119" s="43"/>
      <c r="D119" s="43"/>
      <c r="E119" s="49"/>
    </row>
    <row r="120" spans="2:6" ht="15.75" customHeight="1" x14ac:dyDescent="0.2">
      <c r="B120" s="28"/>
      <c r="C120" s="28"/>
      <c r="D120" s="28"/>
      <c r="E120" s="28"/>
    </row>
    <row r="121" spans="2:6" x14ac:dyDescent="0.2">
      <c r="B121" s="80" t="s">
        <v>78</v>
      </c>
      <c r="C121" s="108" t="str">
        <f>CONCATENATE("",C57,"a")</f>
        <v>7a</v>
      </c>
      <c r="D121" s="109"/>
      <c r="E121" s="109"/>
    </row>
    <row r="123" spans="2:6" x14ac:dyDescent="0.2">
      <c r="B123" s="64"/>
    </row>
    <row r="126" spans="2:6" x14ac:dyDescent="0.2">
      <c r="B126" s="24"/>
      <c r="C126" s="24"/>
    </row>
    <row r="132" spans="3:4" hidden="1" x14ac:dyDescent="0.2"/>
    <row r="133" spans="3:4" hidden="1" x14ac:dyDescent="0.2">
      <c r="C133" s="328" t="str">
        <f>IF(C108&gt;C110,"See Tab A","")</f>
        <v/>
      </c>
      <c r="D133" s="328" t="str">
        <f>IF(D108&gt;D110,"See Tab C","")</f>
        <v/>
      </c>
    </row>
    <row r="134" spans="3:4" x14ac:dyDescent="0.2">
      <c r="C134" s="328" t="str">
        <f>IF(C109&lt;0,"See Tab B","")</f>
        <v/>
      </c>
      <c r="D134" s="328" t="str">
        <f>IF(D109&lt;0,"See Tab D","")</f>
        <v/>
      </c>
    </row>
  </sheetData>
  <sheetProtection sheet="1" objects="1" scenarios="1"/>
  <mergeCells count="9">
    <mergeCell ref="G83:J83"/>
    <mergeCell ref="C111:D111"/>
    <mergeCell ref="C112:D112"/>
    <mergeCell ref="C115:D115"/>
    <mergeCell ref="G90:J90"/>
    <mergeCell ref="G100:J101"/>
    <mergeCell ref="G108:I109"/>
    <mergeCell ref="J108:J109"/>
    <mergeCell ref="G110:J112"/>
  </mergeCells>
  <phoneticPr fontId="0" type="noConversion"/>
  <conditionalFormatting sqref="C52">
    <cfRule type="cellIs" dxfId="151" priority="16" stopIfTrue="1" operator="greaterThan">
      <formula>$C$54*0.1</formula>
    </cfRule>
  </conditionalFormatting>
  <conditionalFormatting sqref="C106">
    <cfRule type="cellIs" dxfId="150" priority="13" stopIfTrue="1" operator="greaterThan">
      <formula>$C$108*0.1</formula>
    </cfRule>
  </conditionalFormatting>
  <conditionalFormatting sqref="C108">
    <cfRule type="expression" dxfId="149" priority="5">
      <formula>$C$108&gt;$C$110</formula>
    </cfRule>
  </conditionalFormatting>
  <conditionalFormatting sqref="C109">
    <cfRule type="expression" dxfId="148" priority="3">
      <formula>$C$109&lt;0</formula>
    </cfRule>
  </conditionalFormatting>
  <conditionalFormatting sqref="D52">
    <cfRule type="cellIs" dxfId="147" priority="15" stopIfTrue="1" operator="greaterThan">
      <formula>$D$54*0.1</formula>
    </cfRule>
  </conditionalFormatting>
  <conditionalFormatting sqref="D106">
    <cfRule type="cellIs" dxfId="146" priority="14" stopIfTrue="1" operator="greaterThan">
      <formula>$D$108*0.1</formula>
    </cfRule>
  </conditionalFormatting>
  <conditionalFormatting sqref="D108">
    <cfRule type="expression" dxfId="145" priority="2">
      <formula>$D$108&gt;$D$110</formula>
    </cfRule>
  </conditionalFormatting>
  <conditionalFormatting sqref="D109">
    <cfRule type="expression" dxfId="144" priority="1">
      <formula>$D$109&lt;0</formula>
    </cfRule>
  </conditionalFormatting>
  <conditionalFormatting sqref="E52">
    <cfRule type="cellIs" dxfId="143" priority="17" stopIfTrue="1" operator="greaterThan">
      <formula>$E$54*0.1+E115</formula>
    </cfRule>
  </conditionalFormatting>
  <conditionalFormatting sqref="E106">
    <cfRule type="cellIs" dxfId="142" priority="8" stopIfTrue="1" operator="greaterThan">
      <formula>$E$108*0.1</formula>
    </cfRule>
  </conditionalFormatting>
  <conditionalFormatting sqref="E111">
    <cfRule type="cellIs" dxfId="141" priority="9" stopIfTrue="1" operator="greaterThan">
      <formula>$E$108/0.95-$E$108</formula>
    </cfRule>
  </conditionalFormatting>
  <conditionalFormatting sqref="J108">
    <cfRule type="containsText" dxfId="140" priority="6" operator="containsText" text="Yes">
      <formula>NOT(ISERROR(SEARCH("Yes",J108)))</formula>
    </cfRule>
  </conditionalFormatting>
  <pageMargins left="0.5" right="0.5" top="1" bottom="0.5" header="0.5" footer="0.5"/>
  <pageSetup scale="72" fitToHeight="2" orientation="portrait" blackAndWhite="1" r:id="rId1"/>
  <headerFooter alignWithMargins="0">
    <oddHeader>&amp;RState of Kansas
City</oddHeader>
  </headerFooter>
  <rowBreaks count="2" manualBreakCount="2">
    <brk id="57" min="1" max="4" man="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135"/>
  <sheetViews>
    <sheetView zoomScaleNormal="100" workbookViewId="0">
      <selection activeCell="A47" sqref="A47"/>
    </sheetView>
  </sheetViews>
  <sheetFormatPr defaultColWidth="8.88671875" defaultRowHeight="15.75" x14ac:dyDescent="0.2"/>
  <cols>
    <col min="1" max="1" width="28.33203125" style="24" customWidth="1"/>
    <col min="2" max="3" width="15.77734375" style="24" customWidth="1"/>
    <col min="4" max="4" width="16.109375" style="24" customWidth="1"/>
    <col min="5" max="16384" width="8.88671875" style="24"/>
  </cols>
  <sheetData>
    <row r="1" spans="1:4" x14ac:dyDescent="0.2">
      <c r="A1" s="47" t="str">
        <f>inputPrYr!D3</f>
        <v>Wellsville</v>
      </c>
      <c r="B1" s="28"/>
      <c r="C1" s="108"/>
      <c r="D1" s="28">
        <f>inputPrYr!C6</f>
        <v>2024</v>
      </c>
    </row>
    <row r="2" spans="1:4" x14ac:dyDescent="0.2">
      <c r="A2" s="28"/>
      <c r="B2" s="28"/>
      <c r="C2" s="28"/>
      <c r="D2" s="108"/>
    </row>
    <row r="3" spans="1:4" x14ac:dyDescent="0.2">
      <c r="A3" s="360"/>
      <c r="B3" s="162"/>
      <c r="C3" s="162"/>
      <c r="D3" s="162"/>
    </row>
    <row r="4" spans="1:4" x14ac:dyDescent="0.2">
      <c r="A4" s="108" t="s">
        <v>59</v>
      </c>
      <c r="B4" s="187" t="s">
        <v>479</v>
      </c>
      <c r="C4" s="87" t="s">
        <v>480</v>
      </c>
      <c r="D4" s="87" t="s">
        <v>481</v>
      </c>
    </row>
    <row r="5" spans="1:4" x14ac:dyDescent="0.2">
      <c r="A5" s="360" t="s">
        <v>268</v>
      </c>
      <c r="B5" s="92" t="str">
        <f>CONCATENATE("Actual for ",D1-2,"")</f>
        <v>Actual for 2022</v>
      </c>
      <c r="C5" s="92" t="str">
        <f>CONCATENATE("Estimate for ",D1-1,"")</f>
        <v>Estimate for 2023</v>
      </c>
      <c r="D5" s="92" t="str">
        <f>CONCATENATE("Year for ",D1,"")</f>
        <v>Year for 2024</v>
      </c>
    </row>
    <row r="6" spans="1:4" x14ac:dyDescent="0.2">
      <c r="A6" s="139" t="s">
        <v>71</v>
      </c>
      <c r="B6" s="52"/>
      <c r="C6" s="52"/>
      <c r="D6" s="52"/>
    </row>
    <row r="7" spans="1:4" x14ac:dyDescent="0.2">
      <c r="A7" s="188" t="s">
        <v>1000</v>
      </c>
      <c r="B7" s="52"/>
      <c r="C7" s="52"/>
      <c r="D7" s="52"/>
    </row>
    <row r="8" spans="1:4" x14ac:dyDescent="0.2">
      <c r="A8" s="189" t="s">
        <v>79</v>
      </c>
      <c r="B8" s="171">
        <v>91545</v>
      </c>
      <c r="C8" s="171">
        <v>172000</v>
      </c>
      <c r="D8" s="171">
        <v>200000</v>
      </c>
    </row>
    <row r="9" spans="1:4" x14ac:dyDescent="0.2">
      <c r="A9" s="189" t="s">
        <v>72</v>
      </c>
      <c r="B9" s="171">
        <f>116102+1830+19-26820-8734</f>
        <v>82397</v>
      </c>
      <c r="C9" s="171"/>
      <c r="D9" s="171"/>
    </row>
    <row r="10" spans="1:4" x14ac:dyDescent="0.2">
      <c r="A10" s="189" t="s">
        <v>73</v>
      </c>
      <c r="B10" s="171">
        <v>11160</v>
      </c>
      <c r="C10" s="171"/>
      <c r="D10" s="171"/>
    </row>
    <row r="11" spans="1:4" x14ac:dyDescent="0.2">
      <c r="A11" s="189" t="s">
        <v>74</v>
      </c>
      <c r="B11" s="171"/>
      <c r="C11" s="171"/>
      <c r="D11" s="171"/>
    </row>
    <row r="12" spans="1:4" x14ac:dyDescent="0.2">
      <c r="A12" s="189"/>
      <c r="B12" s="171"/>
      <c r="C12" s="171"/>
      <c r="D12" s="171"/>
    </row>
    <row r="13" spans="1:4" x14ac:dyDescent="0.2">
      <c r="A13" s="41"/>
      <c r="B13" s="171"/>
      <c r="C13" s="171"/>
      <c r="D13" s="171"/>
    </row>
    <row r="14" spans="1:4" x14ac:dyDescent="0.2">
      <c r="A14" s="41"/>
      <c r="B14" s="171"/>
      <c r="C14" s="171"/>
      <c r="D14" s="171"/>
    </row>
    <row r="15" spans="1:4" x14ac:dyDescent="0.2">
      <c r="A15" s="139" t="s">
        <v>35</v>
      </c>
      <c r="B15" s="176">
        <f>SUM(B8:B14)</f>
        <v>185102</v>
      </c>
      <c r="C15" s="176">
        <f>SUM(C8:C14)</f>
        <v>172000</v>
      </c>
      <c r="D15" s="176">
        <f>SUM(D8:D14)</f>
        <v>200000</v>
      </c>
    </row>
    <row r="16" spans="1:4" x14ac:dyDescent="0.2">
      <c r="A16" s="190" t="s">
        <v>1001</v>
      </c>
      <c r="B16" s="47"/>
      <c r="C16" s="47"/>
      <c r="D16" s="47"/>
    </row>
    <row r="17" spans="1:4" x14ac:dyDescent="0.2">
      <c r="A17" s="189" t="s">
        <v>79</v>
      </c>
      <c r="B17" s="171">
        <v>4273</v>
      </c>
      <c r="C17" s="171">
        <v>7500</v>
      </c>
      <c r="D17" s="171">
        <v>10000</v>
      </c>
    </row>
    <row r="18" spans="1:4" x14ac:dyDescent="0.2">
      <c r="A18" s="189" t="s">
        <v>72</v>
      </c>
      <c r="B18" s="171">
        <v>344</v>
      </c>
      <c r="C18" s="171"/>
      <c r="D18" s="171"/>
    </row>
    <row r="19" spans="1:4" x14ac:dyDescent="0.2">
      <c r="A19" s="189" t="s">
        <v>73</v>
      </c>
      <c r="B19" s="171"/>
      <c r="C19" s="171"/>
      <c r="D19" s="171"/>
    </row>
    <row r="20" spans="1:4" x14ac:dyDescent="0.2">
      <c r="A20" s="189" t="s">
        <v>74</v>
      </c>
      <c r="B20" s="171"/>
      <c r="C20" s="171"/>
      <c r="D20" s="171"/>
    </row>
    <row r="21" spans="1:4" x14ac:dyDescent="0.2">
      <c r="A21" s="189"/>
      <c r="B21" s="171"/>
      <c r="C21" s="171"/>
      <c r="D21" s="171"/>
    </row>
    <row r="22" spans="1:4" x14ac:dyDescent="0.2">
      <c r="A22" s="139" t="s">
        <v>35</v>
      </c>
      <c r="B22" s="176">
        <f>SUM(B17:B21)</f>
        <v>4617</v>
      </c>
      <c r="C22" s="176">
        <f>SUM(C17:C21)</f>
        <v>7500</v>
      </c>
      <c r="D22" s="176">
        <f>SUM(D17:D21)</f>
        <v>10000</v>
      </c>
    </row>
    <row r="23" spans="1:4" x14ac:dyDescent="0.2">
      <c r="A23" s="190" t="s">
        <v>1002</v>
      </c>
      <c r="B23" s="47"/>
      <c r="C23" s="47"/>
      <c r="D23" s="47"/>
    </row>
    <row r="24" spans="1:4" x14ac:dyDescent="0.2">
      <c r="A24" s="189" t="s">
        <v>79</v>
      </c>
      <c r="B24" s="171">
        <v>87434</v>
      </c>
      <c r="C24" s="171">
        <v>120000</v>
      </c>
      <c r="D24" s="171">
        <v>150000</v>
      </c>
    </row>
    <row r="25" spans="1:4" x14ac:dyDescent="0.2">
      <c r="A25" s="189" t="s">
        <v>72</v>
      </c>
      <c r="B25" s="171">
        <v>9517</v>
      </c>
      <c r="C25" s="171"/>
      <c r="D25" s="171"/>
    </row>
    <row r="26" spans="1:4" x14ac:dyDescent="0.2">
      <c r="A26" s="189" t="s">
        <v>73</v>
      </c>
      <c r="B26" s="171">
        <v>1391</v>
      </c>
      <c r="C26" s="171"/>
      <c r="D26" s="171"/>
    </row>
    <row r="27" spans="1:4" x14ac:dyDescent="0.2">
      <c r="A27" s="189" t="s">
        <v>74</v>
      </c>
      <c r="B27" s="171"/>
      <c r="C27" s="171"/>
      <c r="D27" s="171"/>
    </row>
    <row r="28" spans="1:4" x14ac:dyDescent="0.2">
      <c r="A28" s="189"/>
      <c r="B28" s="171"/>
      <c r="C28" s="171"/>
      <c r="D28" s="171"/>
    </row>
    <row r="29" spans="1:4" x14ac:dyDescent="0.2">
      <c r="A29" s="139" t="s">
        <v>35</v>
      </c>
      <c r="B29" s="176">
        <f>SUM(B24:B28)</f>
        <v>98342</v>
      </c>
      <c r="C29" s="176">
        <f>SUM(C24:C28)</f>
        <v>120000</v>
      </c>
      <c r="D29" s="176">
        <f>SUM(D24:D28)</f>
        <v>150000</v>
      </c>
    </row>
    <row r="30" spans="1:4" x14ac:dyDescent="0.2">
      <c r="A30" s="190" t="s">
        <v>1003</v>
      </c>
      <c r="B30" s="47"/>
      <c r="C30" s="47"/>
      <c r="D30" s="47"/>
    </row>
    <row r="31" spans="1:4" x14ac:dyDescent="0.2">
      <c r="A31" s="189" t="s">
        <v>79</v>
      </c>
      <c r="B31" s="171">
        <v>37197</v>
      </c>
      <c r="C31" s="171">
        <v>50000</v>
      </c>
      <c r="D31" s="171">
        <v>50000</v>
      </c>
    </row>
    <row r="32" spans="1:4" x14ac:dyDescent="0.2">
      <c r="A32" s="189" t="s">
        <v>72</v>
      </c>
      <c r="B32" s="171">
        <v>21910</v>
      </c>
      <c r="C32" s="171"/>
      <c r="D32" s="171"/>
    </row>
    <row r="33" spans="1:4" x14ac:dyDescent="0.2">
      <c r="A33" s="189" t="s">
        <v>73</v>
      </c>
      <c r="B33" s="171"/>
      <c r="C33" s="171"/>
      <c r="D33" s="171"/>
    </row>
    <row r="34" spans="1:4" x14ac:dyDescent="0.2">
      <c r="A34" s="189" t="s">
        <v>74</v>
      </c>
      <c r="B34" s="171"/>
      <c r="C34" s="171"/>
      <c r="D34" s="171"/>
    </row>
    <row r="35" spans="1:4" x14ac:dyDescent="0.2">
      <c r="A35" s="139" t="s">
        <v>35</v>
      </c>
      <c r="B35" s="176">
        <f>SUM(B31:B34)</f>
        <v>59107</v>
      </c>
      <c r="C35" s="176">
        <f>SUM(C31:C34)</f>
        <v>50000</v>
      </c>
      <c r="D35" s="176">
        <f>SUM(D31:D34)</f>
        <v>50000</v>
      </c>
    </row>
    <row r="36" spans="1:4" x14ac:dyDescent="0.2">
      <c r="A36" s="190" t="s">
        <v>1004</v>
      </c>
      <c r="B36" s="47"/>
      <c r="C36" s="47"/>
      <c r="D36" s="47"/>
    </row>
    <row r="37" spans="1:4" x14ac:dyDescent="0.2">
      <c r="A37" s="189" t="s">
        <v>79</v>
      </c>
      <c r="B37" s="171">
        <v>344030</v>
      </c>
      <c r="C37" s="171">
        <v>524401</v>
      </c>
      <c r="D37" s="171">
        <v>411860</v>
      </c>
    </row>
    <row r="38" spans="1:4" x14ac:dyDescent="0.2">
      <c r="A38" s="189" t="s">
        <v>72</v>
      </c>
      <c r="B38" s="171">
        <v>56445</v>
      </c>
      <c r="C38" s="171"/>
      <c r="D38" s="171">
        <f>7000+5000+1750+1500+8000+5000+3600</f>
        <v>31850</v>
      </c>
    </row>
    <row r="39" spans="1:4" x14ac:dyDescent="0.2">
      <c r="A39" s="189" t="s">
        <v>73</v>
      </c>
      <c r="B39" s="171">
        <v>79516</v>
      </c>
      <c r="C39" s="171"/>
      <c r="D39" s="171">
        <f>10000+40000+4000+1343+4000+750</f>
        <v>60093</v>
      </c>
    </row>
    <row r="40" spans="1:4" x14ac:dyDescent="0.2">
      <c r="A40" s="189" t="s">
        <v>74</v>
      </c>
      <c r="B40" s="171"/>
      <c r="C40" s="171"/>
      <c r="D40" s="171"/>
    </row>
    <row r="41" spans="1:4" x14ac:dyDescent="0.2">
      <c r="A41" s="189"/>
      <c r="B41" s="171"/>
      <c r="C41" s="171"/>
      <c r="D41" s="171"/>
    </row>
    <row r="42" spans="1:4" x14ac:dyDescent="0.2">
      <c r="A42" s="139" t="s">
        <v>35</v>
      </c>
      <c r="B42" s="176">
        <f>SUM(B37:B41)</f>
        <v>479991</v>
      </c>
      <c r="C42" s="176">
        <f>SUM(C37:C41)</f>
        <v>524401</v>
      </c>
      <c r="D42" s="176">
        <f>SUM(D37:D41)</f>
        <v>503803</v>
      </c>
    </row>
    <row r="43" spans="1:4" x14ac:dyDescent="0.2">
      <c r="A43" s="190" t="s">
        <v>1005</v>
      </c>
      <c r="B43" s="47"/>
      <c r="C43" s="47"/>
      <c r="D43" s="47"/>
    </row>
    <row r="44" spans="1:4" x14ac:dyDescent="0.2">
      <c r="A44" s="189" t="s">
        <v>79</v>
      </c>
      <c r="B44" s="171">
        <v>41536</v>
      </c>
      <c r="C44" s="171">
        <v>185116</v>
      </c>
      <c r="D44" s="171">
        <v>191000</v>
      </c>
    </row>
    <row r="45" spans="1:4" x14ac:dyDescent="0.2">
      <c r="A45" s="189" t="s">
        <v>72</v>
      </c>
      <c r="B45" s="171">
        <f>1129+19975</f>
        <v>21104</v>
      </c>
      <c r="C45" s="171"/>
      <c r="D45" s="171"/>
    </row>
    <row r="46" spans="1:4" x14ac:dyDescent="0.2">
      <c r="A46" s="189" t="s">
        <v>73</v>
      </c>
      <c r="B46" s="171">
        <v>101335</v>
      </c>
      <c r="C46" s="171"/>
      <c r="D46" s="171"/>
    </row>
    <row r="47" spans="1:4" x14ac:dyDescent="0.2">
      <c r="A47" s="189" t="s">
        <v>1052</v>
      </c>
      <c r="B47" s="171"/>
      <c r="C47" s="171"/>
      <c r="D47" s="171"/>
    </row>
    <row r="48" spans="1:4" x14ac:dyDescent="0.2">
      <c r="A48" s="189"/>
      <c r="B48" s="171"/>
      <c r="C48" s="171"/>
      <c r="D48" s="171"/>
    </row>
    <row r="49" spans="1:4" x14ac:dyDescent="0.2">
      <c r="A49" s="139" t="s">
        <v>35</v>
      </c>
      <c r="B49" s="176">
        <f>SUM(B44:B48)</f>
        <v>163975</v>
      </c>
      <c r="C49" s="176">
        <f>SUM(C44:C48)</f>
        <v>185116</v>
      </c>
      <c r="D49" s="176">
        <f>SUM(D44:D48)</f>
        <v>191000</v>
      </c>
    </row>
    <row r="50" spans="1:4" x14ac:dyDescent="0.2">
      <c r="A50" s="190" t="s">
        <v>1006</v>
      </c>
      <c r="B50" s="47"/>
      <c r="C50" s="47"/>
      <c r="D50" s="47"/>
    </row>
    <row r="51" spans="1:4" x14ac:dyDescent="0.2">
      <c r="A51" s="189" t="s">
        <v>79</v>
      </c>
      <c r="B51" s="171">
        <v>12613</v>
      </c>
      <c r="C51" s="171">
        <v>35400</v>
      </c>
      <c r="D51" s="171">
        <v>36460</v>
      </c>
    </row>
    <row r="52" spans="1:4" x14ac:dyDescent="0.2">
      <c r="A52" s="189" t="s">
        <v>72</v>
      </c>
      <c r="B52" s="171">
        <v>3239</v>
      </c>
      <c r="C52" s="171"/>
      <c r="D52" s="171"/>
    </row>
    <row r="53" spans="1:4" x14ac:dyDescent="0.2">
      <c r="A53" s="189" t="s">
        <v>73</v>
      </c>
      <c r="B53" s="171">
        <v>5038</v>
      </c>
      <c r="C53" s="171"/>
      <c r="D53" s="171"/>
    </row>
    <row r="54" spans="1:4" x14ac:dyDescent="0.2">
      <c r="A54" s="189" t="s">
        <v>74</v>
      </c>
      <c r="B54" s="171"/>
      <c r="C54" s="171"/>
      <c r="D54" s="171"/>
    </row>
    <row r="55" spans="1:4" x14ac:dyDescent="0.2">
      <c r="A55" s="189"/>
      <c r="B55" s="171"/>
      <c r="C55" s="171"/>
      <c r="D55" s="171"/>
    </row>
    <row r="56" spans="1:4" x14ac:dyDescent="0.2">
      <c r="A56" s="139" t="s">
        <v>35</v>
      </c>
      <c r="B56" s="176">
        <f>SUM(B51:B55)</f>
        <v>20890</v>
      </c>
      <c r="C56" s="176">
        <f>SUM(C51:C55)</f>
        <v>35400</v>
      </c>
      <c r="D56" s="176">
        <f>SUM(D51:D55)</f>
        <v>36460</v>
      </c>
    </row>
    <row r="57" spans="1:4" x14ac:dyDescent="0.2">
      <c r="A57" s="190" t="s">
        <v>1007</v>
      </c>
      <c r="B57" s="47"/>
      <c r="C57" s="47"/>
      <c r="D57" s="47"/>
    </row>
    <row r="58" spans="1:4" x14ac:dyDescent="0.2">
      <c r="A58" s="189" t="s">
        <v>79</v>
      </c>
      <c r="B58" s="171">
        <v>45989</v>
      </c>
      <c r="C58" s="171">
        <v>32250</v>
      </c>
      <c r="D58" s="171">
        <v>33800</v>
      </c>
    </row>
    <row r="59" spans="1:4" x14ac:dyDescent="0.2">
      <c r="A59" s="189" t="s">
        <v>72</v>
      </c>
      <c r="B59" s="171">
        <v>9289</v>
      </c>
      <c r="C59" s="171"/>
      <c r="D59" s="171"/>
    </row>
    <row r="60" spans="1:4" x14ac:dyDescent="0.2">
      <c r="A60" s="189" t="s">
        <v>73</v>
      </c>
      <c r="B60" s="171">
        <v>3368</v>
      </c>
      <c r="C60" s="171"/>
      <c r="D60" s="171"/>
    </row>
    <row r="61" spans="1:4" x14ac:dyDescent="0.2">
      <c r="A61" s="189" t="s">
        <v>74</v>
      </c>
      <c r="B61" s="171"/>
      <c r="C61" s="171"/>
      <c r="D61" s="171"/>
    </row>
    <row r="62" spans="1:4" x14ac:dyDescent="0.2">
      <c r="A62" s="189"/>
      <c r="B62" s="171"/>
      <c r="C62" s="171"/>
      <c r="D62" s="171"/>
    </row>
    <row r="63" spans="1:4" x14ac:dyDescent="0.2">
      <c r="A63" s="139" t="s">
        <v>35</v>
      </c>
      <c r="B63" s="176">
        <f>SUM(B58:B62)</f>
        <v>58646</v>
      </c>
      <c r="C63" s="176">
        <f>SUM(C58:C62)</f>
        <v>32250</v>
      </c>
      <c r="D63" s="176">
        <f>SUM(D58:D62)</f>
        <v>33800</v>
      </c>
    </row>
    <row r="64" spans="1:4" x14ac:dyDescent="0.2">
      <c r="A64" s="28"/>
      <c r="B64" s="47"/>
      <c r="C64" s="47"/>
      <c r="D64" s="47"/>
    </row>
    <row r="65" spans="1:4" ht="16.5" thickBot="1" x14ac:dyDescent="0.25">
      <c r="A65" s="139" t="s">
        <v>264</v>
      </c>
      <c r="B65" s="191">
        <f>B15+B22+B29+B35+B42+B49+B56+B63</f>
        <v>1070670</v>
      </c>
      <c r="C65" s="191">
        <f>C15+C22+C29+C35+C42+C49+C56+C63</f>
        <v>1126667</v>
      </c>
      <c r="D65" s="191">
        <f>D15+D22+D29+D35+D42+D49+D56+D63</f>
        <v>1175063</v>
      </c>
    </row>
    <row r="66" spans="1:4" ht="16.5" thickTop="1" x14ac:dyDescent="0.2">
      <c r="A66" s="78"/>
      <c r="B66" s="47"/>
      <c r="C66" s="47"/>
      <c r="D66" s="47"/>
    </row>
    <row r="67" spans="1:4" x14ac:dyDescent="0.2">
      <c r="A67" s="272" t="s">
        <v>78</v>
      </c>
      <c r="B67" s="47" t="str">
        <f>CONCATENATE("",General!C57,"b")</f>
        <v>7b</v>
      </c>
      <c r="C67" s="47"/>
      <c r="D67" s="47"/>
    </row>
    <row r="68" spans="1:4" x14ac:dyDescent="0.2">
      <c r="A68" s="28"/>
      <c r="B68" s="47"/>
      <c r="C68" s="47"/>
      <c r="D68" s="47"/>
    </row>
    <row r="69" spans="1:4" x14ac:dyDescent="0.2">
      <c r="A69" s="47" t="str">
        <f>A1</f>
        <v>Wellsville</v>
      </c>
      <c r="B69" s="28"/>
      <c r="C69" s="108"/>
      <c r="D69" s="28">
        <f>D1</f>
        <v>2024</v>
      </c>
    </row>
    <row r="70" spans="1:4" x14ac:dyDescent="0.2">
      <c r="A70" s="28"/>
      <c r="B70" s="28"/>
      <c r="C70" s="28"/>
      <c r="D70" s="108"/>
    </row>
    <row r="71" spans="1:4" x14ac:dyDescent="0.2">
      <c r="A71" s="161"/>
      <c r="B71" s="135"/>
      <c r="C71" s="135"/>
      <c r="D71" s="135"/>
    </row>
    <row r="72" spans="1:4" x14ac:dyDescent="0.2">
      <c r="A72" s="444" t="s">
        <v>59</v>
      </c>
      <c r="B72" s="359" t="str">
        <f t="shared" ref="B72:D73" si="0">B4</f>
        <v xml:space="preserve">Prior Year </v>
      </c>
      <c r="C72" s="445" t="str">
        <f t="shared" si="0"/>
        <v xml:space="preserve">Current Year </v>
      </c>
      <c r="D72" s="358" t="str">
        <f t="shared" si="0"/>
        <v xml:space="preserve">Proposed Budget </v>
      </c>
    </row>
    <row r="73" spans="1:4" x14ac:dyDescent="0.2">
      <c r="A73" s="360" t="s">
        <v>269</v>
      </c>
      <c r="B73" s="92" t="str">
        <f t="shared" si="0"/>
        <v>Actual for 2022</v>
      </c>
      <c r="C73" s="92" t="str">
        <f t="shared" si="0"/>
        <v>Estimate for 2023</v>
      </c>
      <c r="D73" s="92" t="str">
        <f t="shared" si="0"/>
        <v>Year for 2024</v>
      </c>
    </row>
    <row r="74" spans="1:4" x14ac:dyDescent="0.2">
      <c r="A74" s="139" t="s">
        <v>71</v>
      </c>
      <c r="B74" s="52"/>
      <c r="C74" s="52"/>
      <c r="D74" s="52"/>
    </row>
    <row r="75" spans="1:4" x14ac:dyDescent="0.2">
      <c r="A75" s="188"/>
      <c r="B75" s="52"/>
      <c r="C75" s="52"/>
      <c r="D75" s="52"/>
    </row>
    <row r="76" spans="1:4" x14ac:dyDescent="0.2">
      <c r="A76" s="189" t="s">
        <v>79</v>
      </c>
      <c r="B76" s="171"/>
      <c r="C76" s="171"/>
      <c r="D76" s="171"/>
    </row>
    <row r="77" spans="1:4" x14ac:dyDescent="0.2">
      <c r="A77" s="189" t="s">
        <v>72</v>
      </c>
      <c r="B77" s="171"/>
      <c r="C77" s="171"/>
      <c r="D77" s="171"/>
    </row>
    <row r="78" spans="1:4" x14ac:dyDescent="0.2">
      <c r="A78" s="189" t="s">
        <v>73</v>
      </c>
      <c r="B78" s="171"/>
      <c r="C78" s="171"/>
      <c r="D78" s="171"/>
    </row>
    <row r="79" spans="1:4" x14ac:dyDescent="0.2">
      <c r="A79" s="189" t="s">
        <v>74</v>
      </c>
      <c r="B79" s="171"/>
      <c r="C79" s="171"/>
      <c r="D79" s="171"/>
    </row>
    <row r="80" spans="1:4" x14ac:dyDescent="0.2">
      <c r="A80" s="41"/>
      <c r="B80" s="171"/>
      <c r="C80" s="171"/>
      <c r="D80" s="171"/>
    </row>
    <row r="81" spans="1:4" x14ac:dyDescent="0.2">
      <c r="A81" s="139" t="s">
        <v>35</v>
      </c>
      <c r="B81" s="176">
        <f>SUM(B76:B80)</f>
        <v>0</v>
      </c>
      <c r="C81" s="176">
        <f>SUM(C76:C80)</f>
        <v>0</v>
      </c>
      <c r="D81" s="176">
        <f>SUM(D76:D80)</f>
        <v>0</v>
      </c>
    </row>
    <row r="82" spans="1:4" x14ac:dyDescent="0.2">
      <c r="A82" s="190"/>
      <c r="B82" s="47"/>
      <c r="C82" s="47"/>
      <c r="D82" s="47"/>
    </row>
    <row r="83" spans="1:4" x14ac:dyDescent="0.2">
      <c r="A83" s="189" t="s">
        <v>79</v>
      </c>
      <c r="B83" s="171"/>
      <c r="C83" s="171"/>
      <c r="D83" s="171"/>
    </row>
    <row r="84" spans="1:4" x14ac:dyDescent="0.2">
      <c r="A84" s="189" t="s">
        <v>72</v>
      </c>
      <c r="B84" s="171"/>
      <c r="C84" s="171"/>
      <c r="D84" s="171"/>
    </row>
    <row r="85" spans="1:4" x14ac:dyDescent="0.2">
      <c r="A85" s="189" t="s">
        <v>73</v>
      </c>
      <c r="B85" s="171"/>
      <c r="C85" s="171"/>
      <c r="D85" s="171"/>
    </row>
    <row r="86" spans="1:4" x14ac:dyDescent="0.2">
      <c r="A86" s="189" t="s">
        <v>74</v>
      </c>
      <c r="B86" s="171"/>
      <c r="C86" s="171"/>
      <c r="D86" s="171"/>
    </row>
    <row r="87" spans="1:4" x14ac:dyDescent="0.2">
      <c r="A87" s="189"/>
      <c r="B87" s="171"/>
      <c r="C87" s="171"/>
      <c r="D87" s="171"/>
    </row>
    <row r="88" spans="1:4" x14ac:dyDescent="0.2">
      <c r="A88" s="139" t="s">
        <v>35</v>
      </c>
      <c r="B88" s="176">
        <f>SUM(B83:B87)</f>
        <v>0</v>
      </c>
      <c r="C88" s="176">
        <f>SUM(C83:C87)</f>
        <v>0</v>
      </c>
      <c r="D88" s="176">
        <f>SUM(D83:D87)</f>
        <v>0</v>
      </c>
    </row>
    <row r="89" spans="1:4" x14ac:dyDescent="0.2">
      <c r="A89" s="190"/>
      <c r="B89" s="47"/>
      <c r="C89" s="47"/>
      <c r="D89" s="47"/>
    </row>
    <row r="90" spans="1:4" x14ac:dyDescent="0.2">
      <c r="A90" s="189" t="s">
        <v>79</v>
      </c>
      <c r="B90" s="171"/>
      <c r="C90" s="171"/>
      <c r="D90" s="171"/>
    </row>
    <row r="91" spans="1:4" x14ac:dyDescent="0.2">
      <c r="A91" s="189" t="s">
        <v>72</v>
      </c>
      <c r="B91" s="171"/>
      <c r="C91" s="171"/>
      <c r="D91" s="171"/>
    </row>
    <row r="92" spans="1:4" x14ac:dyDescent="0.2">
      <c r="A92" s="189" t="s">
        <v>73</v>
      </c>
      <c r="B92" s="171"/>
      <c r="C92" s="171"/>
      <c r="D92" s="171"/>
    </row>
    <row r="93" spans="1:4" x14ac:dyDescent="0.2">
      <c r="A93" s="189" t="s">
        <v>74</v>
      </c>
      <c r="B93" s="171"/>
      <c r="C93" s="171"/>
      <c r="D93" s="171"/>
    </row>
    <row r="94" spans="1:4" x14ac:dyDescent="0.2">
      <c r="A94" s="189"/>
      <c r="B94" s="171"/>
      <c r="C94" s="171"/>
      <c r="D94" s="171"/>
    </row>
    <row r="95" spans="1:4" x14ac:dyDescent="0.2">
      <c r="A95" s="139" t="s">
        <v>35</v>
      </c>
      <c r="B95" s="176">
        <f>SUM(B90:B94)</f>
        <v>0</v>
      </c>
      <c r="C95" s="176">
        <f>SUM(C90:C94)</f>
        <v>0</v>
      </c>
      <c r="D95" s="176">
        <f>SUM(D90:D94)</f>
        <v>0</v>
      </c>
    </row>
    <row r="96" spans="1:4" x14ac:dyDescent="0.2">
      <c r="A96" s="190"/>
      <c r="B96" s="47"/>
      <c r="C96" s="47"/>
      <c r="D96" s="47"/>
    </row>
    <row r="97" spans="1:4" x14ac:dyDescent="0.2">
      <c r="A97" s="189" t="s">
        <v>79</v>
      </c>
      <c r="B97" s="171"/>
      <c r="C97" s="171"/>
      <c r="D97" s="171"/>
    </row>
    <row r="98" spans="1:4" x14ac:dyDescent="0.2">
      <c r="A98" s="189" t="s">
        <v>72</v>
      </c>
      <c r="B98" s="171"/>
      <c r="C98" s="171"/>
      <c r="D98" s="171"/>
    </row>
    <row r="99" spans="1:4" x14ac:dyDescent="0.2">
      <c r="A99" s="189" t="s">
        <v>73</v>
      </c>
      <c r="B99" s="171"/>
      <c r="C99" s="171"/>
      <c r="D99" s="171"/>
    </row>
    <row r="100" spans="1:4" x14ac:dyDescent="0.2">
      <c r="A100" s="189" t="s">
        <v>74</v>
      </c>
      <c r="B100" s="171"/>
      <c r="C100" s="171"/>
      <c r="D100" s="171"/>
    </row>
    <row r="101" spans="1:4" x14ac:dyDescent="0.2">
      <c r="A101" s="139" t="s">
        <v>35</v>
      </c>
      <c r="B101" s="176">
        <f>SUM(B97:B100)</f>
        <v>0</v>
      </c>
      <c r="C101" s="176">
        <f>SUM(C97:C100)</f>
        <v>0</v>
      </c>
      <c r="D101" s="176">
        <f>SUM(D97:D100)</f>
        <v>0</v>
      </c>
    </row>
    <row r="102" spans="1:4" x14ac:dyDescent="0.2">
      <c r="A102" s="190"/>
      <c r="B102" s="47"/>
      <c r="C102" s="47"/>
      <c r="D102" s="47"/>
    </row>
    <row r="103" spans="1:4" x14ac:dyDescent="0.2">
      <c r="A103" s="189" t="s">
        <v>79</v>
      </c>
      <c r="B103" s="171"/>
      <c r="C103" s="171"/>
      <c r="D103" s="171"/>
    </row>
    <row r="104" spans="1:4" x14ac:dyDescent="0.2">
      <c r="A104" s="189" t="s">
        <v>72</v>
      </c>
      <c r="B104" s="171"/>
      <c r="C104" s="171"/>
      <c r="D104" s="171"/>
    </row>
    <row r="105" spans="1:4" x14ac:dyDescent="0.2">
      <c r="A105" s="189" t="s">
        <v>73</v>
      </c>
      <c r="B105" s="171"/>
      <c r="C105" s="171"/>
      <c r="D105" s="171"/>
    </row>
    <row r="106" spans="1:4" x14ac:dyDescent="0.2">
      <c r="A106" s="189" t="s">
        <v>74</v>
      </c>
      <c r="B106" s="171"/>
      <c r="C106" s="171"/>
      <c r="D106" s="171"/>
    </row>
    <row r="107" spans="1:4" x14ac:dyDescent="0.2">
      <c r="A107" s="189"/>
      <c r="B107" s="171"/>
      <c r="C107" s="171"/>
      <c r="D107" s="171"/>
    </row>
    <row r="108" spans="1:4" x14ac:dyDescent="0.2">
      <c r="A108" s="139" t="s">
        <v>35</v>
      </c>
      <c r="B108" s="176">
        <f>SUM(B103:B107)</f>
        <v>0</v>
      </c>
      <c r="C108" s="176">
        <f>SUM(C103:C107)</f>
        <v>0</v>
      </c>
      <c r="D108" s="176">
        <f>SUM(D103:D107)</f>
        <v>0</v>
      </c>
    </row>
    <row r="109" spans="1:4" x14ac:dyDescent="0.2">
      <c r="A109" s="190"/>
      <c r="B109" s="47"/>
      <c r="C109" s="47"/>
      <c r="D109" s="47"/>
    </row>
    <row r="110" spans="1:4" x14ac:dyDescent="0.2">
      <c r="A110" s="189" t="s">
        <v>79</v>
      </c>
      <c r="B110" s="171"/>
      <c r="C110" s="171"/>
      <c r="D110" s="171"/>
    </row>
    <row r="111" spans="1:4" x14ac:dyDescent="0.2">
      <c r="A111" s="189" t="s">
        <v>72</v>
      </c>
      <c r="B111" s="171"/>
      <c r="C111" s="171"/>
      <c r="D111" s="171"/>
    </row>
    <row r="112" spans="1:4" x14ac:dyDescent="0.2">
      <c r="A112" s="189" t="s">
        <v>73</v>
      </c>
      <c r="B112" s="171"/>
      <c r="C112" s="171"/>
      <c r="D112" s="171"/>
    </row>
    <row r="113" spans="1:4" x14ac:dyDescent="0.2">
      <c r="A113" s="189" t="s">
        <v>74</v>
      </c>
      <c r="B113" s="171"/>
      <c r="C113" s="171"/>
      <c r="D113" s="171"/>
    </row>
    <row r="114" spans="1:4" x14ac:dyDescent="0.2">
      <c r="A114" s="189"/>
      <c r="B114" s="171"/>
      <c r="C114" s="171"/>
      <c r="D114" s="171"/>
    </row>
    <row r="115" spans="1:4" x14ac:dyDescent="0.2">
      <c r="A115" s="139" t="s">
        <v>35</v>
      </c>
      <c r="B115" s="176">
        <f>SUM(B110:B114)</f>
        <v>0</v>
      </c>
      <c r="C115" s="176">
        <f>SUM(C110:C114)</f>
        <v>0</v>
      </c>
      <c r="D115" s="176">
        <f>SUM(D110:D114)</f>
        <v>0</v>
      </c>
    </row>
    <row r="116" spans="1:4" x14ac:dyDescent="0.2">
      <c r="A116" s="190"/>
      <c r="B116" s="47"/>
      <c r="C116" s="47"/>
      <c r="D116" s="47"/>
    </row>
    <row r="117" spans="1:4" x14ac:dyDescent="0.2">
      <c r="A117" s="189" t="s">
        <v>79</v>
      </c>
      <c r="B117" s="171"/>
      <c r="C117" s="171"/>
      <c r="D117" s="171"/>
    </row>
    <row r="118" spans="1:4" x14ac:dyDescent="0.2">
      <c r="A118" s="189" t="s">
        <v>72</v>
      </c>
      <c r="B118" s="171"/>
      <c r="C118" s="171"/>
      <c r="D118" s="171"/>
    </row>
    <row r="119" spans="1:4" x14ac:dyDescent="0.2">
      <c r="A119" s="189" t="s">
        <v>73</v>
      </c>
      <c r="B119" s="171"/>
      <c r="C119" s="171"/>
      <c r="D119" s="171"/>
    </row>
    <row r="120" spans="1:4" x14ac:dyDescent="0.2">
      <c r="A120" s="189" t="s">
        <v>74</v>
      </c>
      <c r="B120" s="171"/>
      <c r="C120" s="171"/>
      <c r="D120" s="171"/>
    </row>
    <row r="121" spans="1:4" x14ac:dyDescent="0.2">
      <c r="A121" s="189"/>
      <c r="B121" s="171"/>
      <c r="C121" s="171"/>
      <c r="D121" s="171"/>
    </row>
    <row r="122" spans="1:4" x14ac:dyDescent="0.2">
      <c r="A122" s="139" t="s">
        <v>35</v>
      </c>
      <c r="B122" s="176">
        <f>SUM(B117:B121)</f>
        <v>0</v>
      </c>
      <c r="C122" s="176">
        <f>SUM(C117:C121)</f>
        <v>0</v>
      </c>
      <c r="D122" s="176">
        <f>SUM(D117:D121)</f>
        <v>0</v>
      </c>
    </row>
    <row r="123" spans="1:4" x14ac:dyDescent="0.2">
      <c r="A123" s="190"/>
      <c r="B123" s="47"/>
      <c r="C123" s="47"/>
      <c r="D123" s="47"/>
    </row>
    <row r="124" spans="1:4" x14ac:dyDescent="0.2">
      <c r="A124" s="189" t="s">
        <v>79</v>
      </c>
      <c r="B124" s="171"/>
      <c r="C124" s="171"/>
      <c r="D124" s="171"/>
    </row>
    <row r="125" spans="1:4" x14ac:dyDescent="0.2">
      <c r="A125" s="189" t="s">
        <v>72</v>
      </c>
      <c r="B125" s="171"/>
      <c r="C125" s="171"/>
      <c r="D125" s="171"/>
    </row>
    <row r="126" spans="1:4" x14ac:dyDescent="0.2">
      <c r="A126" s="189" t="s">
        <v>73</v>
      </c>
      <c r="B126" s="171"/>
      <c r="C126" s="171"/>
      <c r="D126" s="171"/>
    </row>
    <row r="127" spans="1:4" x14ac:dyDescent="0.2">
      <c r="A127" s="189" t="s">
        <v>74</v>
      </c>
      <c r="B127" s="171"/>
      <c r="C127" s="171"/>
      <c r="D127" s="171"/>
    </row>
    <row r="128" spans="1:4" x14ac:dyDescent="0.2">
      <c r="A128" s="189"/>
      <c r="B128" s="171"/>
      <c r="C128" s="171"/>
      <c r="D128" s="171"/>
    </row>
    <row r="129" spans="1:4" x14ac:dyDescent="0.2">
      <c r="A129" s="139" t="s">
        <v>35</v>
      </c>
      <c r="B129" s="176">
        <f>SUM(B124:B128)</f>
        <v>0</v>
      </c>
      <c r="C129" s="176">
        <f>SUM(C124:C128)</f>
        <v>0</v>
      </c>
      <c r="D129" s="244">
        <f>SUM(D124:D128)</f>
        <v>0</v>
      </c>
    </row>
    <row r="130" spans="1:4" x14ac:dyDescent="0.2">
      <c r="A130" s="139"/>
      <c r="B130" s="47"/>
      <c r="C130" s="47"/>
      <c r="D130" s="47"/>
    </row>
    <row r="131" spans="1:4" x14ac:dyDescent="0.2">
      <c r="A131" s="38" t="s">
        <v>266</v>
      </c>
      <c r="B131" s="245">
        <f>B81+B88+B95+B101+B108+B115+B122+B129</f>
        <v>0</v>
      </c>
      <c r="C131" s="245">
        <f>C81+C88+C95+C101+C108+C115+C122+C129</f>
        <v>0</v>
      </c>
      <c r="D131" s="245">
        <f>D81+D88+D95+D101+D108+D115+D122+D129</f>
        <v>0</v>
      </c>
    </row>
    <row r="132" spans="1:4" x14ac:dyDescent="0.2">
      <c r="A132" s="139" t="s">
        <v>265</v>
      </c>
      <c r="B132" s="176">
        <f>B65</f>
        <v>1070670</v>
      </c>
      <c r="C132" s="176">
        <f>C65</f>
        <v>1126667</v>
      </c>
      <c r="D132" s="176">
        <f>D65</f>
        <v>1175063</v>
      </c>
    </row>
    <row r="133" spans="1:4" ht="16.5" thickBot="1" x14ac:dyDescent="0.25">
      <c r="A133" s="139" t="s">
        <v>267</v>
      </c>
      <c r="B133" s="191">
        <f>SUM(B131:B132)</f>
        <v>1070670</v>
      </c>
      <c r="C133" s="191">
        <f>SUM(C131:C132)</f>
        <v>1126667</v>
      </c>
      <c r="D133" s="191">
        <f>SUM(D131:D132)</f>
        <v>1175063</v>
      </c>
    </row>
    <row r="134" spans="1:4" ht="16.5" thickTop="1" x14ac:dyDescent="0.2">
      <c r="A134" s="78" t="s">
        <v>17</v>
      </c>
      <c r="B134" s="47"/>
      <c r="C134" s="47"/>
      <c r="D134" s="47"/>
    </row>
    <row r="135" spans="1:4" x14ac:dyDescent="0.2">
      <c r="A135" s="272" t="s">
        <v>78</v>
      </c>
      <c r="B135" s="47" t="str">
        <f>CONCATENATE("",General!C57,"c")</f>
        <v>7c</v>
      </c>
      <c r="C135" s="47"/>
      <c r="D135" s="47"/>
    </row>
  </sheetData>
  <sheetProtection sheet="1"/>
  <phoneticPr fontId="0" type="noConversion"/>
  <pageMargins left="0.5" right="0.5" top="1" bottom="0.5" header="0.5" footer="0.5"/>
  <pageSetup scale="64" fitToHeight="2" orientation="portrait" blackAndWhite="1" r:id="rId1"/>
  <headerFooter alignWithMargins="0">
    <oddHeader>&amp;RState of Kansas
City</oddHeader>
  </headerFooter>
  <rowBreaks count="3" manualBreakCount="3">
    <brk id="67" max="16383" man="1"/>
    <brk id="69" max="16383" man="1"/>
    <brk id="135" max="16383" man="1"/>
  </rowBreaks>
  <colBreaks count="3" manualBreakCount="3">
    <brk id="1" max="1048575" man="1"/>
    <brk id="2" max="1048575" man="1"/>
    <brk id="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101"/>
  <sheetViews>
    <sheetView topLeftCell="A10" zoomScaleNormal="100" workbookViewId="0">
      <selection activeCell="B64" sqref="B64"/>
    </sheetView>
  </sheetViews>
  <sheetFormatPr defaultColWidth="8.88671875" defaultRowHeight="15.75" x14ac:dyDescent="0.2"/>
  <cols>
    <col min="1" max="1" width="2.44140625" style="26" customWidth="1"/>
    <col min="2" max="2" width="31.109375" style="26" customWidth="1"/>
    <col min="3" max="4" width="15.77734375" style="26" customWidth="1"/>
    <col min="5" max="5" width="16.21875" style="26" customWidth="1"/>
    <col min="6" max="6" width="7.109375" style="26" customWidth="1"/>
    <col min="7" max="7" width="10.21875" style="26" customWidth="1"/>
    <col min="8" max="8" width="8.88671875" style="26"/>
    <col min="9" max="9" width="5.5546875" style="26" customWidth="1"/>
    <col min="10" max="10" width="10" style="26" customWidth="1"/>
    <col min="11" max="16384" width="8.88671875" style="26"/>
  </cols>
  <sheetData>
    <row r="1" spans="2:10" x14ac:dyDescent="0.2">
      <c r="B1" s="270" t="str">
        <f>inputPrYr!D3</f>
        <v>Wellsville</v>
      </c>
      <c r="C1" s="270"/>
      <c r="D1" s="257"/>
      <c r="E1" s="264">
        <f>inputPrYr!C6</f>
        <v>2024</v>
      </c>
    </row>
    <row r="2" spans="2:10" x14ac:dyDescent="0.2">
      <c r="B2" s="257"/>
      <c r="C2" s="257"/>
      <c r="D2" s="257"/>
      <c r="E2" s="272"/>
    </row>
    <row r="3" spans="2:10" x14ac:dyDescent="0.2">
      <c r="B3" s="260" t="s">
        <v>123</v>
      </c>
      <c r="C3" s="260"/>
      <c r="D3" s="273"/>
      <c r="E3" s="265"/>
    </row>
    <row r="4" spans="2:10" x14ac:dyDescent="0.2">
      <c r="B4" s="259" t="s">
        <v>59</v>
      </c>
      <c r="C4" s="442" t="s">
        <v>479</v>
      </c>
      <c r="D4" s="443" t="s">
        <v>480</v>
      </c>
      <c r="E4" s="87" t="s">
        <v>481</v>
      </c>
    </row>
    <row r="5" spans="2:10" x14ac:dyDescent="0.2">
      <c r="B5" s="288" t="s">
        <v>16</v>
      </c>
      <c r="C5" s="138" t="str">
        <f>CONCATENATE("Actual for ",E1-2,"")</f>
        <v>Actual for 2022</v>
      </c>
      <c r="D5" s="138" t="str">
        <f>CONCATENATE("Estimate for ",E1-1,"")</f>
        <v>Estimate for 2023</v>
      </c>
      <c r="E5" s="122" t="str">
        <f>CONCATENATE("Year for ",E1,"")</f>
        <v>Year for 2024</v>
      </c>
    </row>
    <row r="6" spans="2:10" x14ac:dyDescent="0.2">
      <c r="B6" s="266" t="s">
        <v>137</v>
      </c>
      <c r="C6" s="285">
        <v>37969</v>
      </c>
      <c r="D6" s="284">
        <f>C34</f>
        <v>36</v>
      </c>
      <c r="E6" s="267">
        <f>D34</f>
        <v>532</v>
      </c>
    </row>
    <row r="7" spans="2:10" x14ac:dyDescent="0.2">
      <c r="B7" s="266" t="s">
        <v>139</v>
      </c>
      <c r="C7" s="268"/>
      <c r="D7" s="284"/>
      <c r="E7" s="267"/>
    </row>
    <row r="8" spans="2:10" x14ac:dyDescent="0.2">
      <c r="B8" s="266" t="s">
        <v>60</v>
      </c>
      <c r="C8" s="283">
        <v>4520</v>
      </c>
      <c r="D8" s="284">
        <f>IF(inputPrYr!H21,inputPrYr!G23,inputPrYr!E19)</f>
        <v>45021</v>
      </c>
      <c r="E8" s="280" t="s">
        <v>49</v>
      </c>
    </row>
    <row r="9" spans="2:10" x14ac:dyDescent="0.2">
      <c r="B9" s="266" t="s">
        <v>61</v>
      </c>
      <c r="C9" s="283">
        <v>147</v>
      </c>
      <c r="D9" s="286"/>
      <c r="E9" s="261"/>
      <c r="G9" s="718" t="str">
        <f>CONCATENATE("Desired Carryover Into ",E1+1,"")</f>
        <v>Desired Carryover Into 2025</v>
      </c>
      <c r="H9" s="700"/>
      <c r="I9" s="700"/>
      <c r="J9" s="701"/>
    </row>
    <row r="10" spans="2:10" x14ac:dyDescent="0.2">
      <c r="B10" s="266" t="s">
        <v>62</v>
      </c>
      <c r="C10" s="283"/>
      <c r="D10" s="286">
        <v>447</v>
      </c>
      <c r="E10" s="267">
        <f>Mvalloc!D8</f>
        <v>3779</v>
      </c>
      <c r="G10" s="382"/>
      <c r="H10" s="383"/>
      <c r="I10" s="384"/>
      <c r="J10" s="385"/>
    </row>
    <row r="11" spans="2:10" x14ac:dyDescent="0.2">
      <c r="B11" s="266" t="s">
        <v>63</v>
      </c>
      <c r="C11" s="283"/>
      <c r="D11" s="286">
        <v>9</v>
      </c>
      <c r="E11" s="267">
        <f>Mvalloc!E8</f>
        <v>82</v>
      </c>
      <c r="G11" s="386" t="s">
        <v>349</v>
      </c>
      <c r="H11" s="384"/>
      <c r="I11" s="384"/>
      <c r="J11" s="387">
        <v>0</v>
      </c>
    </row>
    <row r="12" spans="2:10" x14ac:dyDescent="0.2">
      <c r="B12" s="269" t="s">
        <v>130</v>
      </c>
      <c r="C12" s="283"/>
      <c r="D12" s="286">
        <v>1</v>
      </c>
      <c r="E12" s="267">
        <f>Mvalloc!F8</f>
        <v>31</v>
      </c>
      <c r="G12" s="382" t="s">
        <v>350</v>
      </c>
      <c r="H12" s="383"/>
      <c r="I12" s="383"/>
      <c r="J12" s="388" t="str">
        <f>IF(J11=0,"",ROUND((J11+E40-G24)/inputOth!E7*1000,3)-G29)</f>
        <v/>
      </c>
    </row>
    <row r="13" spans="2:10" x14ac:dyDescent="0.2">
      <c r="B13" s="508" t="s">
        <v>528</v>
      </c>
      <c r="C13" s="283"/>
      <c r="D13" s="286">
        <v>16</v>
      </c>
      <c r="E13" s="267">
        <f>Mvalloc!G8</f>
        <v>109</v>
      </c>
      <c r="G13" s="389" t="str">
        <f>CONCATENATE("",E1," Tot Exp/Non-Appr Must Be:")</f>
        <v>2024 Tot Exp/Non-Appr Must Be:</v>
      </c>
      <c r="H13" s="390"/>
      <c r="I13" s="391"/>
      <c r="J13" s="392">
        <f>IF(J11&gt;0,IF(E37&lt;E22,IF(J11=G24,E37,((J11-G24)*(1-D39))+E22),E37+(J11-G24)),0)</f>
        <v>0</v>
      </c>
    </row>
    <row r="14" spans="2:10" x14ac:dyDescent="0.2">
      <c r="B14" s="508" t="s">
        <v>529</v>
      </c>
      <c r="C14" s="283"/>
      <c r="D14" s="286">
        <v>2</v>
      </c>
      <c r="E14" s="267">
        <f>Mvalloc!H8</f>
        <v>19</v>
      </c>
      <c r="G14" s="393" t="s">
        <v>423</v>
      </c>
      <c r="H14" s="394"/>
      <c r="I14" s="394"/>
      <c r="J14" s="395">
        <f>IF(J11&gt;0,J13-E37,0)</f>
        <v>0</v>
      </c>
    </row>
    <row r="15" spans="2:10" x14ac:dyDescent="0.2">
      <c r="B15" s="281"/>
      <c r="C15" s="283"/>
      <c r="D15" s="286"/>
      <c r="E15" s="261"/>
      <c r="G15" s="256"/>
      <c r="H15" s="256"/>
      <c r="I15" s="256"/>
    </row>
    <row r="16" spans="2:10" x14ac:dyDescent="0.2">
      <c r="B16" s="281"/>
      <c r="C16" s="283"/>
      <c r="D16" s="286"/>
      <c r="E16" s="261"/>
      <c r="G16" s="718" t="str">
        <f>CONCATENATE("Projected Carryover Into ",E1+1,"")</f>
        <v>Projected Carryover Into 2025</v>
      </c>
      <c r="H16" s="719"/>
      <c r="I16" s="719"/>
      <c r="J16" s="720"/>
    </row>
    <row r="17" spans="2:11" x14ac:dyDescent="0.2">
      <c r="B17" s="278" t="s">
        <v>67</v>
      </c>
      <c r="C17" s="283"/>
      <c r="D17" s="286"/>
      <c r="E17" s="261"/>
      <c r="G17" s="382"/>
      <c r="H17" s="384"/>
      <c r="I17" s="384"/>
      <c r="J17" s="584"/>
    </row>
    <row r="18" spans="2:11" x14ac:dyDescent="0.2">
      <c r="B18" s="279" t="s">
        <v>8</v>
      </c>
      <c r="C18" s="283"/>
      <c r="D18" s="286"/>
      <c r="E18" s="456">
        <f>'NR Rebate'!E7*-1</f>
        <v>0</v>
      </c>
      <c r="G18" s="398">
        <f>D34</f>
        <v>532</v>
      </c>
      <c r="H18" s="376" t="str">
        <f>CONCATENATE("",E1-1," Ending Cash Balance (est.)")</f>
        <v>2023 Ending Cash Balance (est.)</v>
      </c>
      <c r="I18" s="399"/>
      <c r="J18" s="584"/>
    </row>
    <row r="19" spans="2:11" x14ac:dyDescent="0.2">
      <c r="B19" s="266" t="s">
        <v>9</v>
      </c>
      <c r="C19" s="168"/>
      <c r="D19" s="168"/>
      <c r="E19" s="39"/>
      <c r="F19" s="256"/>
      <c r="G19" s="398">
        <f>E21</f>
        <v>4020</v>
      </c>
      <c r="H19" s="384" t="str">
        <f>CONCATENATE("",E1," Non-AV Receipts (est.)")</f>
        <v>2024 Non-AV Receipts (est.)</v>
      </c>
      <c r="I19" s="399"/>
      <c r="J19" s="584"/>
    </row>
    <row r="20" spans="2:11" x14ac:dyDescent="0.2">
      <c r="B20" s="266" t="s">
        <v>352</v>
      </c>
      <c r="C20" s="173" t="str">
        <f>IF(C21*0.1&lt;C19,"Exceed 10% Rule","")</f>
        <v/>
      </c>
      <c r="D20" s="173" t="str">
        <f>IF(D21*0.1&lt;D19,"Exceed 10% Rule","")</f>
        <v/>
      </c>
      <c r="E20" s="204" t="str">
        <f>IF(E21*0.1+E40&lt;E19,"Exceed 10% Rule","")</f>
        <v/>
      </c>
      <c r="F20" s="256"/>
      <c r="G20" s="400">
        <f>IF(E39&gt;0,E38,E40)</f>
        <v>44448</v>
      </c>
      <c r="H20" s="384" t="str">
        <f>CONCATENATE("",E1," Ad Valorem Tax (est.)")</f>
        <v>2024 Ad Valorem Tax (est.)</v>
      </c>
      <c r="I20" s="399"/>
      <c r="J20" s="584"/>
      <c r="K20" s="26" t="str">
        <f>IF(G20=E40,"","Note: Does not include Delinquent Taxes")</f>
        <v>Note: Does not include Delinquent Taxes</v>
      </c>
    </row>
    <row r="21" spans="2:11" x14ac:dyDescent="0.2">
      <c r="B21" s="275" t="s">
        <v>68</v>
      </c>
      <c r="C21" s="287">
        <f>SUM(C8:C19)</f>
        <v>4667</v>
      </c>
      <c r="D21" s="287">
        <f>SUM(D8:D19)</f>
        <v>45496</v>
      </c>
      <c r="E21" s="282">
        <f>SUM(E9:E19)</f>
        <v>4020</v>
      </c>
      <c r="F21" s="256"/>
      <c r="G21" s="398">
        <f>SUM(G18:G20)</f>
        <v>49000</v>
      </c>
      <c r="H21" s="384" t="str">
        <f>CONCATENATE("Total ",E1," Resources Available")</f>
        <v>Total 2024 Resources Available</v>
      </c>
      <c r="I21" s="399"/>
      <c r="J21" s="584"/>
    </row>
    <row r="22" spans="2:11" x14ac:dyDescent="0.2">
      <c r="B22" s="275" t="s">
        <v>69</v>
      </c>
      <c r="C22" s="287">
        <f>SUM(C6+C21)</f>
        <v>42636</v>
      </c>
      <c r="D22" s="287">
        <f>SUM(D6+D21)</f>
        <v>45532</v>
      </c>
      <c r="E22" s="282">
        <f>SUM(E6+E21)</f>
        <v>4552</v>
      </c>
      <c r="F22" s="256"/>
      <c r="G22" s="434"/>
      <c r="H22" s="384"/>
      <c r="I22" s="384"/>
      <c r="J22" s="584"/>
    </row>
    <row r="23" spans="2:11" x14ac:dyDescent="0.2">
      <c r="B23" s="266" t="s">
        <v>71</v>
      </c>
      <c r="C23" s="266"/>
      <c r="D23" s="284"/>
      <c r="E23" s="267"/>
      <c r="F23" s="256"/>
      <c r="G23" s="400">
        <f>C33</f>
        <v>42600</v>
      </c>
      <c r="H23" s="384" t="s">
        <v>725</v>
      </c>
      <c r="I23" s="384"/>
      <c r="J23" s="584"/>
    </row>
    <row r="24" spans="2:11" x14ac:dyDescent="0.2">
      <c r="B24" s="281" t="s">
        <v>1021</v>
      </c>
      <c r="C24" s="297">
        <v>30000</v>
      </c>
      <c r="D24" s="286">
        <v>30000</v>
      </c>
      <c r="E24" s="261">
        <v>34000</v>
      </c>
      <c r="F24" s="256"/>
      <c r="G24" s="435">
        <f>G21-G23</f>
        <v>6400</v>
      </c>
      <c r="H24" s="436" t="str">
        <f>CONCATENATE("Projected ",E1+1," carryover (est.)")</f>
        <v>Projected 2025 carryover (est.)</v>
      </c>
      <c r="I24" s="437"/>
      <c r="J24" s="585"/>
    </row>
    <row r="25" spans="2:11" x14ac:dyDescent="0.2">
      <c r="B25" s="281" t="s">
        <v>1022</v>
      </c>
      <c r="C25" s="297">
        <v>12600</v>
      </c>
      <c r="D25" s="286">
        <v>15000</v>
      </c>
      <c r="E25" s="261">
        <v>15000</v>
      </c>
      <c r="F25" s="256"/>
    </row>
    <row r="26" spans="2:11" x14ac:dyDescent="0.2">
      <c r="B26" s="281" t="s">
        <v>1023</v>
      </c>
      <c r="C26" s="297"/>
      <c r="D26" s="286"/>
      <c r="E26" s="261"/>
      <c r="F26" s="256"/>
      <c r="G26" s="702" t="s">
        <v>722</v>
      </c>
      <c r="H26" s="703"/>
      <c r="I26" s="703"/>
      <c r="J26" s="704"/>
    </row>
    <row r="27" spans="2:11" x14ac:dyDescent="0.2">
      <c r="B27" s="281"/>
      <c r="C27" s="297"/>
      <c r="D27" s="286"/>
      <c r="E27" s="261"/>
      <c r="F27" s="256"/>
      <c r="G27" s="705"/>
      <c r="H27" s="706"/>
      <c r="I27" s="706"/>
      <c r="J27" s="707"/>
    </row>
    <row r="28" spans="2:11" x14ac:dyDescent="0.2">
      <c r="B28" s="281"/>
      <c r="C28" s="297"/>
      <c r="D28" s="286"/>
      <c r="E28" s="261"/>
      <c r="F28" s="256"/>
      <c r="G28" s="577">
        <f>'Summary Budget Hearing Notice'!H16</f>
        <v>2.161</v>
      </c>
      <c r="H28" s="376" t="str">
        <f>CONCATENATE("",E1," Estimated Fund Mill Rate")</f>
        <v>2024 Estimated Fund Mill Rate</v>
      </c>
      <c r="I28" s="578"/>
      <c r="J28" s="579"/>
    </row>
    <row r="29" spans="2:11" x14ac:dyDescent="0.2">
      <c r="B29" s="281"/>
      <c r="C29" s="297"/>
      <c r="D29" s="286"/>
      <c r="E29" s="261"/>
      <c r="F29" s="256"/>
      <c r="G29" s="580">
        <f>'Summary Budget Hearing Notice'!E16</f>
        <v>2.327</v>
      </c>
      <c r="H29" s="376" t="str">
        <f>CONCATENATE("",E1-1," Fund Mill Rate")</f>
        <v>2023 Fund Mill Rate</v>
      </c>
      <c r="I29" s="578"/>
      <c r="J29" s="579"/>
    </row>
    <row r="30" spans="2:11" x14ac:dyDescent="0.2">
      <c r="B30" s="279" t="str">
        <f>CONCATENATE("Cash Basis Reserve (",E1," column)")</f>
        <v>Cash Basis Reserve (2024 column)</v>
      </c>
      <c r="C30" s="297"/>
      <c r="D30" s="286"/>
      <c r="E30" s="261"/>
      <c r="F30" s="256"/>
      <c r="G30" s="581">
        <f>inputOth!D20</f>
        <v>50.973999999999997</v>
      </c>
      <c r="H30" s="582" t="s">
        <v>723</v>
      </c>
      <c r="I30" s="578"/>
      <c r="J30" s="579"/>
    </row>
    <row r="31" spans="2:11" x14ac:dyDescent="0.2">
      <c r="B31" s="279" t="s">
        <v>9</v>
      </c>
      <c r="C31" s="297"/>
      <c r="D31" s="286"/>
      <c r="E31" s="261"/>
      <c r="F31" s="256"/>
      <c r="G31" s="577" t="e">
        <f>'Summary Budget Hearing Notice'!H52</f>
        <v>#REF!</v>
      </c>
      <c r="H31" s="376" t="str">
        <f>CONCATENATE(E1," Estimated Total Mill Rate")</f>
        <v>2024 Estimated Total Mill Rate</v>
      </c>
      <c r="I31" s="578"/>
      <c r="J31" s="579"/>
    </row>
    <row r="32" spans="2:11" x14ac:dyDescent="0.2">
      <c r="B32" s="279" t="s">
        <v>354</v>
      </c>
      <c r="C32" s="173" t="str">
        <f>IF(C33*0.1&lt;C31,"Exceed 10% Rule","")</f>
        <v/>
      </c>
      <c r="D32" s="173" t="str">
        <f>IF(D33*0.1&lt;D31,"Exceed 10% Rule","")</f>
        <v/>
      </c>
      <c r="E32" s="204" t="str">
        <f>IF(E33*0.1&lt;E31,"Exceed 10% Rule","")</f>
        <v/>
      </c>
      <c r="F32" s="256"/>
      <c r="G32" s="583">
        <f>'Summary Budget Hearing Notice'!E52</f>
        <v>54.954999999999991</v>
      </c>
      <c r="H32" s="376" t="str">
        <f>CONCATENATE(E1-1," Total Mill Rate")</f>
        <v>2023 Total Mill Rate</v>
      </c>
      <c r="I32" s="578"/>
      <c r="J32" s="579"/>
    </row>
    <row r="33" spans="2:10" x14ac:dyDescent="0.2">
      <c r="B33" s="275" t="s">
        <v>75</v>
      </c>
      <c r="C33" s="287">
        <f>SUM(C24:C31)</f>
        <v>42600</v>
      </c>
      <c r="D33" s="287">
        <f>SUM(D24:D31)</f>
        <v>45000</v>
      </c>
      <c r="E33" s="282">
        <f>SUM(E24:E31)</f>
        <v>49000</v>
      </c>
      <c r="F33" s="256"/>
      <c r="G33" s="396"/>
      <c r="H33" s="383"/>
      <c r="I33" s="383"/>
      <c r="J33" s="403"/>
    </row>
    <row r="34" spans="2:10" x14ac:dyDescent="0.2">
      <c r="B34" s="266" t="s">
        <v>138</v>
      </c>
      <c r="C34" s="456">
        <f>SUM(C22-C33)</f>
        <v>36</v>
      </c>
      <c r="D34" s="456">
        <f>SUM(D22-D33)</f>
        <v>532</v>
      </c>
      <c r="E34" s="280" t="s">
        <v>49</v>
      </c>
      <c r="F34" s="256"/>
      <c r="G34" s="708" t="s">
        <v>724</v>
      </c>
      <c r="H34" s="709"/>
      <c r="I34" s="709"/>
      <c r="J34" s="712" t="e">
        <f>IF(G31&gt;G30, "Yes", "No")</f>
        <v>#REF!</v>
      </c>
    </row>
    <row r="35" spans="2:10" x14ac:dyDescent="0.2">
      <c r="B35" s="457" t="str">
        <f>CONCATENATE("",E1-2,"/",E1-1,"/",E1," Budget Authority Amount:")</f>
        <v>2022/2023/2024 Budget Authority Amount:</v>
      </c>
      <c r="C35" s="456">
        <f>inputOth!B66</f>
        <v>45000</v>
      </c>
      <c r="D35" s="455">
        <f>inputPrYr!D19</f>
        <v>45000</v>
      </c>
      <c r="E35" s="267">
        <f>E33</f>
        <v>49000</v>
      </c>
      <c r="F35" s="256"/>
      <c r="G35" s="710"/>
      <c r="H35" s="711"/>
      <c r="I35" s="711"/>
      <c r="J35" s="713"/>
    </row>
    <row r="36" spans="2:10" x14ac:dyDescent="0.2">
      <c r="B36" s="271"/>
      <c r="C36" s="695" t="s">
        <v>320</v>
      </c>
      <c r="D36" s="696"/>
      <c r="E36" s="39"/>
      <c r="F36" s="276"/>
      <c r="G36" s="714" t="e">
        <f>IF(J34="Yes", "Follow procedure prescribed by KSA 79-2988 to exceed the Revenue Neutral Rate.", " ")</f>
        <v>#REF!</v>
      </c>
      <c r="H36" s="714"/>
      <c r="I36" s="714"/>
      <c r="J36" s="714"/>
    </row>
    <row r="37" spans="2:10" x14ac:dyDescent="0.2">
      <c r="B37" s="329" t="str">
        <f>CONCATENATE(C98,"     ",D98)</f>
        <v xml:space="preserve">     </v>
      </c>
      <c r="C37" s="697" t="s">
        <v>321</v>
      </c>
      <c r="D37" s="698"/>
      <c r="E37" s="267">
        <f>SUM(E33+E36)</f>
        <v>49000</v>
      </c>
      <c r="F37" s="293" t="str">
        <f>IF(E33/0.95-E33&lt;E36,"Exceeds 5%","")</f>
        <v/>
      </c>
      <c r="G37" s="715"/>
      <c r="H37" s="715"/>
      <c r="I37" s="715"/>
      <c r="J37" s="715"/>
    </row>
    <row r="38" spans="2:10" x14ac:dyDescent="0.2">
      <c r="B38" s="329" t="str">
        <f>CONCATENATE(C99,"     ",D99)</f>
        <v xml:space="preserve">     </v>
      </c>
      <c r="C38" s="277"/>
      <c r="D38" s="272" t="s">
        <v>76</v>
      </c>
      <c r="E38" s="456">
        <f>IF(E37-E22&gt;0,E37-E22,0)</f>
        <v>44448</v>
      </c>
      <c r="F38" s="256"/>
      <c r="G38" s="715"/>
      <c r="H38" s="715"/>
      <c r="I38" s="715"/>
      <c r="J38" s="715"/>
    </row>
    <row r="39" spans="2:10" x14ac:dyDescent="0.2">
      <c r="B39" s="272"/>
      <c r="C39" s="255" t="s">
        <v>319</v>
      </c>
      <c r="D39" s="450">
        <f>inputOth!$E$52</f>
        <v>1.4E-2</v>
      </c>
      <c r="E39" s="267">
        <f>ROUND(IF(D39&gt;0,(E38*D39),0),0)</f>
        <v>622</v>
      </c>
      <c r="F39" s="256"/>
    </row>
    <row r="40" spans="2:10" ht="16.5" thickBot="1" x14ac:dyDescent="0.25">
      <c r="B40" s="257"/>
      <c r="C40" s="716" t="str">
        <f>CONCATENATE("Amount of  ",E1-1," Ad Valorem Tax")</f>
        <v>Amount of  2023 Ad Valorem Tax</v>
      </c>
      <c r="D40" s="717"/>
      <c r="E40" s="379">
        <f>SUM(E38:E39)</f>
        <v>45070</v>
      </c>
      <c r="F40" s="256"/>
    </row>
    <row r="41" spans="2:10" ht="16.5" thickTop="1" x14ac:dyDescent="0.2">
      <c r="B41" s="257"/>
      <c r="C41" s="365"/>
      <c r="D41" s="262"/>
      <c r="E41" s="262"/>
      <c r="F41" s="256"/>
    </row>
    <row r="42" spans="2:10" x14ac:dyDescent="0.2">
      <c r="B42" s="259"/>
      <c r="C42" s="259"/>
      <c r="D42" s="273"/>
      <c r="E42" s="273"/>
      <c r="F42" s="256"/>
    </row>
    <row r="43" spans="2:10" x14ac:dyDescent="0.2">
      <c r="B43" s="259" t="s">
        <v>59</v>
      </c>
      <c r="C43" s="442" t="s">
        <v>479</v>
      </c>
      <c r="D43" s="443" t="s">
        <v>480</v>
      </c>
      <c r="E43" s="87" t="s">
        <v>481</v>
      </c>
      <c r="F43" s="256"/>
    </row>
    <row r="44" spans="2:10" x14ac:dyDescent="0.2">
      <c r="B44" s="289" t="str">
        <f>inputPrYr!B20</f>
        <v>Library</v>
      </c>
      <c r="C44" s="138" t="str">
        <f>CONCATENATE("Actual for ",E1-2,"")</f>
        <v>Actual for 2022</v>
      </c>
      <c r="D44" s="138" t="str">
        <f>CONCATENATE("Estimate for ",E1-1,"")</f>
        <v>Estimate for 2023</v>
      </c>
      <c r="E44" s="122" t="str">
        <f>CONCATENATE("Year for ",E1,"")</f>
        <v>Year for 2024</v>
      </c>
      <c r="F44" s="256"/>
    </row>
    <row r="45" spans="2:10" x14ac:dyDescent="0.2">
      <c r="B45" s="266" t="s">
        <v>137</v>
      </c>
      <c r="C45" s="283">
        <v>571</v>
      </c>
      <c r="D45" s="284">
        <f>C74</f>
        <v>2242</v>
      </c>
      <c r="E45" s="267">
        <f>D74</f>
        <v>4250</v>
      </c>
      <c r="F45" s="256"/>
    </row>
    <row r="46" spans="2:10" x14ac:dyDescent="0.2">
      <c r="B46" s="274" t="s">
        <v>139</v>
      </c>
      <c r="C46" s="266"/>
      <c r="D46" s="284"/>
      <c r="E46" s="267"/>
      <c r="F46" s="256"/>
    </row>
    <row r="47" spans="2:10" x14ac:dyDescent="0.2">
      <c r="B47" s="266" t="s">
        <v>60</v>
      </c>
      <c r="C47" s="283">
        <v>79843</v>
      </c>
      <c r="D47" s="284">
        <f>IF(inputPrYr!H21&gt;0,inputPrYr!G24,inputPrYr!E20)</f>
        <v>92374</v>
      </c>
      <c r="E47" s="280" t="s">
        <v>49</v>
      </c>
      <c r="F47" s="256"/>
    </row>
    <row r="48" spans="2:10" x14ac:dyDescent="0.2">
      <c r="B48" s="266" t="s">
        <v>61</v>
      </c>
      <c r="C48" s="283">
        <v>2803</v>
      </c>
      <c r="D48" s="286">
        <v>1000</v>
      </c>
      <c r="E48" s="261"/>
      <c r="F48" s="256"/>
    </row>
    <row r="49" spans="2:11" x14ac:dyDescent="0.2">
      <c r="B49" s="266" t="s">
        <v>62</v>
      </c>
      <c r="C49" s="283">
        <v>10032</v>
      </c>
      <c r="D49" s="286">
        <v>7908</v>
      </c>
      <c r="E49" s="267">
        <f>Mvalloc!D9</f>
        <v>7754</v>
      </c>
      <c r="F49" s="256"/>
    </row>
    <row r="50" spans="2:11" x14ac:dyDescent="0.2">
      <c r="B50" s="266" t="s">
        <v>63</v>
      </c>
      <c r="C50" s="283">
        <v>228</v>
      </c>
      <c r="D50" s="286">
        <v>167</v>
      </c>
      <c r="E50" s="267">
        <f>Mvalloc!E9</f>
        <v>169</v>
      </c>
      <c r="F50" s="256"/>
    </row>
    <row r="51" spans="2:11" x14ac:dyDescent="0.2">
      <c r="B51" s="269" t="s">
        <v>130</v>
      </c>
      <c r="C51" s="283"/>
      <c r="D51" s="286">
        <v>19</v>
      </c>
      <c r="E51" s="267">
        <f>Mvalloc!F9</f>
        <v>63</v>
      </c>
      <c r="F51" s="256"/>
      <c r="G51" s="718" t="str">
        <f>CONCATENATE("Desired Carryover Into ",E1+1,"")</f>
        <v>Desired Carryover Into 2025</v>
      </c>
      <c r="H51" s="721"/>
      <c r="I51" s="721"/>
      <c r="J51" s="722"/>
    </row>
    <row r="52" spans="2:11" x14ac:dyDescent="0.2">
      <c r="B52" s="508" t="s">
        <v>528</v>
      </c>
      <c r="C52" s="283">
        <v>273</v>
      </c>
      <c r="D52" s="286">
        <v>285</v>
      </c>
      <c r="E52" s="267">
        <f>Mvalloc!G9</f>
        <v>223</v>
      </c>
      <c r="G52" s="382"/>
      <c r="H52" s="383"/>
      <c r="I52" s="384"/>
      <c r="J52" s="385"/>
    </row>
    <row r="53" spans="2:11" x14ac:dyDescent="0.2">
      <c r="B53" s="508" t="s">
        <v>529</v>
      </c>
      <c r="C53" s="283"/>
      <c r="D53" s="286">
        <v>42</v>
      </c>
      <c r="E53" s="267">
        <f>Mvalloc!H9</f>
        <v>39</v>
      </c>
      <c r="G53" s="386" t="s">
        <v>349</v>
      </c>
      <c r="H53" s="384"/>
      <c r="I53" s="384"/>
      <c r="J53" s="387">
        <v>0</v>
      </c>
    </row>
    <row r="54" spans="2:11" x14ac:dyDescent="0.2">
      <c r="B54" s="261"/>
      <c r="C54" s="283"/>
      <c r="D54" s="286"/>
      <c r="E54" s="261"/>
      <c r="G54" s="382" t="s">
        <v>350</v>
      </c>
      <c r="H54" s="383"/>
      <c r="I54" s="383"/>
      <c r="J54" s="388" t="str">
        <f>IF(J53=0,"",ROUND((J53+E80-G66)/inputOth!E7*1000,3)-G71)</f>
        <v/>
      </c>
    </row>
    <row r="55" spans="2:11" x14ac:dyDescent="0.2">
      <c r="B55" s="281"/>
      <c r="C55" s="283"/>
      <c r="D55" s="286"/>
      <c r="E55" s="261"/>
      <c r="G55" s="389" t="str">
        <f>CONCATENATE("",E1," Tot Exp/Non-Appr Must Be:")</f>
        <v>2024 Tot Exp/Non-Appr Must Be:</v>
      </c>
      <c r="H55" s="390"/>
      <c r="I55" s="391"/>
      <c r="J55" s="392">
        <f>IF(J53&gt;0,IF(E77&lt;E62,IF(J53=G66,E77,((J53-G66)*(1-D79))+E62),E77+(J53-G66)),0)</f>
        <v>0</v>
      </c>
    </row>
    <row r="56" spans="2:11" x14ac:dyDescent="0.2">
      <c r="B56" s="281"/>
      <c r="C56" s="283"/>
      <c r="D56" s="286"/>
      <c r="E56" s="261"/>
      <c r="G56" s="393" t="s">
        <v>423</v>
      </c>
      <c r="H56" s="394"/>
      <c r="I56" s="394"/>
      <c r="J56" s="395">
        <f>IF(J53&gt;0,J55-E77,0)</f>
        <v>0</v>
      </c>
    </row>
    <row r="57" spans="2:11" x14ac:dyDescent="0.25">
      <c r="B57" s="278" t="s">
        <v>67</v>
      </c>
      <c r="C57" s="283"/>
      <c r="D57" s="286"/>
      <c r="E57" s="261"/>
      <c r="G57" s="2"/>
      <c r="H57" s="2"/>
      <c r="I57" s="2"/>
      <c r="J57" s="2"/>
    </row>
    <row r="58" spans="2:11" x14ac:dyDescent="0.2">
      <c r="B58" s="269" t="s">
        <v>8</v>
      </c>
      <c r="C58" s="283"/>
      <c r="D58" s="286"/>
      <c r="E58" s="456">
        <f>'NR Rebate'!E8*-1</f>
        <v>0</v>
      </c>
      <c r="G58" s="718" t="str">
        <f>CONCATENATE("Projected Carryover Into ",E1+1,"")</f>
        <v>Projected Carryover Into 2025</v>
      </c>
      <c r="H58" s="723"/>
      <c r="I58" s="723"/>
      <c r="J58" s="720"/>
    </row>
    <row r="59" spans="2:11" x14ac:dyDescent="0.25">
      <c r="B59" s="266" t="s">
        <v>9</v>
      </c>
      <c r="C59" s="283"/>
      <c r="D59" s="168"/>
      <c r="E59" s="39"/>
      <c r="G59" s="396"/>
      <c r="H59" s="383"/>
      <c r="I59" s="383"/>
      <c r="J59" s="397"/>
    </row>
    <row r="60" spans="2:11" x14ac:dyDescent="0.25">
      <c r="B60" s="266" t="s">
        <v>352</v>
      </c>
      <c r="C60" s="173" t="str">
        <f>IF(C61*0.1&lt;C59,"Exceed 10% Rule","")</f>
        <v/>
      </c>
      <c r="D60" s="173" t="str">
        <f>IF(D61*0.1&lt;D59,"Exceed 10% Rule","")</f>
        <v/>
      </c>
      <c r="E60" s="204" t="str">
        <f>IF(E61*0.1+E80&lt;E59,"Exceed 10% Rule","")</f>
        <v/>
      </c>
      <c r="G60" s="398">
        <f>D74</f>
        <v>4250</v>
      </c>
      <c r="H60" s="376" t="str">
        <f>CONCATENATE("",E1-1," Ending Cash Balance (est.)")</f>
        <v>2023 Ending Cash Balance (est.)</v>
      </c>
      <c r="I60" s="399"/>
      <c r="J60" s="397"/>
    </row>
    <row r="61" spans="2:11" x14ac:dyDescent="0.25">
      <c r="B61" s="275" t="s">
        <v>68</v>
      </c>
      <c r="C61" s="592">
        <f>SUM(C47:C59)</f>
        <v>93179</v>
      </c>
      <c r="D61" s="592">
        <f>SUM(D47:D59)</f>
        <v>101795</v>
      </c>
      <c r="E61" s="592">
        <f>SUM(E48:E59)</f>
        <v>8248</v>
      </c>
      <c r="G61" s="398">
        <f>E61</f>
        <v>8248</v>
      </c>
      <c r="H61" s="384" t="str">
        <f>CONCATENATE("",E1," Non-AV Receipts (est.)")</f>
        <v>2024 Non-AV Receipts (est.)</v>
      </c>
      <c r="I61" s="399"/>
      <c r="J61" s="397"/>
      <c r="K61" s="377" t="str">
        <f>IF(G62=E80,"","Note: Does not include Delinquent Taxes")</f>
        <v>Note: Does not include Delinquent Taxes</v>
      </c>
    </row>
    <row r="62" spans="2:11" x14ac:dyDescent="0.25">
      <c r="B62" s="275" t="s">
        <v>69</v>
      </c>
      <c r="C62" s="592">
        <f>SUM(C45+C61)</f>
        <v>93750</v>
      </c>
      <c r="D62" s="592">
        <f>SUM(D45+D61)</f>
        <v>104037</v>
      </c>
      <c r="E62" s="592">
        <f>SUM(E45+E61)</f>
        <v>12498</v>
      </c>
      <c r="G62" s="400">
        <f>IF(E79&gt;0,E78,E80)</f>
        <v>94184</v>
      </c>
      <c r="H62" s="384" t="str">
        <f>CONCATENATE("",E1," Ad Valorem Tax (est.)")</f>
        <v>2024 Ad Valorem Tax (est.)</v>
      </c>
      <c r="I62" s="399"/>
      <c r="J62" s="397"/>
    </row>
    <row r="63" spans="2:11" x14ac:dyDescent="0.25">
      <c r="B63" s="266" t="s">
        <v>71</v>
      </c>
      <c r="C63" s="266"/>
      <c r="D63" s="284"/>
      <c r="E63" s="267"/>
      <c r="G63" s="402">
        <f>SUM(G60:G62)</f>
        <v>106682</v>
      </c>
      <c r="H63" s="384" t="str">
        <f>CONCATENATE("Total ",E1," Resources Available")</f>
        <v>Total 2024 Resources Available</v>
      </c>
      <c r="I63" s="403"/>
      <c r="J63" s="397"/>
    </row>
    <row r="64" spans="2:11" x14ac:dyDescent="0.25">
      <c r="B64" s="281" t="s">
        <v>1032</v>
      </c>
      <c r="C64" s="283">
        <v>91508</v>
      </c>
      <c r="D64" s="286">
        <v>99787</v>
      </c>
      <c r="E64" s="261">
        <v>106682</v>
      </c>
      <c r="G64" s="404"/>
      <c r="H64" s="405"/>
      <c r="I64" s="383"/>
      <c r="J64" s="397"/>
    </row>
    <row r="65" spans="2:10" x14ac:dyDescent="0.25">
      <c r="B65" s="281"/>
      <c r="C65" s="283"/>
      <c r="D65" s="286"/>
      <c r="E65" s="261"/>
      <c r="G65" s="406">
        <f>ROUND(C73*0.05+C73,0)</f>
        <v>96083</v>
      </c>
      <c r="H65" s="405" t="str">
        <f>CONCATENATE("Less ",E1-2," Expenditures + 5%")</f>
        <v>Less 2022 Expenditures + 5%</v>
      </c>
      <c r="I65" s="403"/>
      <c r="J65" s="397"/>
    </row>
    <row r="66" spans="2:10" x14ac:dyDescent="0.25">
      <c r="B66" s="281"/>
      <c r="C66" s="283"/>
      <c r="D66" s="286"/>
      <c r="E66" s="261"/>
      <c r="G66" s="407">
        <f>G63-G65</f>
        <v>10599</v>
      </c>
      <c r="H66" s="408" t="str">
        <f>CONCATENATE("Projected ",E1+1," carryover (est.)")</f>
        <v>Projected 2025 carryover (est.)</v>
      </c>
      <c r="I66" s="409"/>
      <c r="J66" s="410"/>
    </row>
    <row r="67" spans="2:10" x14ac:dyDescent="0.25">
      <c r="B67" s="281"/>
      <c r="C67" s="283"/>
      <c r="D67" s="286"/>
      <c r="E67" s="261"/>
      <c r="F67" s="2"/>
      <c r="G67" s="2"/>
      <c r="H67" s="2"/>
      <c r="I67" s="2"/>
      <c r="J67" s="2"/>
    </row>
    <row r="68" spans="2:10" x14ac:dyDescent="0.25">
      <c r="B68" s="281"/>
      <c r="C68" s="283"/>
      <c r="D68" s="286"/>
      <c r="E68" s="261"/>
      <c r="F68" s="2"/>
      <c r="G68" s="702" t="s">
        <v>722</v>
      </c>
      <c r="H68" s="703"/>
      <c r="I68" s="703"/>
      <c r="J68" s="704"/>
    </row>
    <row r="69" spans="2:10" x14ac:dyDescent="0.25">
      <c r="B69" s="281"/>
      <c r="C69" s="283"/>
      <c r="D69" s="286"/>
      <c r="E69" s="261"/>
      <c r="F69" s="2"/>
      <c r="G69" s="705"/>
      <c r="H69" s="706"/>
      <c r="I69" s="706"/>
      <c r="J69" s="707"/>
    </row>
    <row r="70" spans="2:10" x14ac:dyDescent="0.25">
      <c r="B70" s="281"/>
      <c r="C70" s="283"/>
      <c r="D70" s="286"/>
      <c r="E70" s="261"/>
      <c r="F70" s="2"/>
      <c r="G70" s="577">
        <f>'Summary Budget Hearing Notice'!H17</f>
        <v>4.5789999999999997</v>
      </c>
      <c r="H70" s="376" t="str">
        <f>CONCATENATE("",E1," Estimated Fund Mill Rate")</f>
        <v>2024 Estimated Fund Mill Rate</v>
      </c>
      <c r="I70" s="578"/>
      <c r="J70" s="579"/>
    </row>
    <row r="71" spans="2:10" x14ac:dyDescent="0.25">
      <c r="B71" s="269" t="s">
        <v>9</v>
      </c>
      <c r="C71" s="297"/>
      <c r="D71" s="286"/>
      <c r="E71" s="261"/>
      <c r="F71" s="2"/>
      <c r="G71" s="580">
        <f>'Summary Budget Hearing Notice'!E17</f>
        <v>4.7750000000000004</v>
      </c>
      <c r="H71" s="376" t="str">
        <f>CONCATENATE("",E1-1," Fund Mill Rate")</f>
        <v>2023 Fund Mill Rate</v>
      </c>
      <c r="I71" s="578"/>
      <c r="J71" s="579"/>
    </row>
    <row r="72" spans="2:10" x14ac:dyDescent="0.25">
      <c r="B72" s="269" t="s">
        <v>353</v>
      </c>
      <c r="C72" s="173" t="str">
        <f>IF(C73*0.1&lt;C71,"Exceed 10% Rule","")</f>
        <v/>
      </c>
      <c r="D72" s="173" t="str">
        <f>IF(D73*0.1&lt;D71,"Exceed 10% Rule","")</f>
        <v/>
      </c>
      <c r="E72" s="204" t="str">
        <f>IF(E73*0.1&lt;E71,"Exceed 10% Rule","")</f>
        <v/>
      </c>
      <c r="F72" s="2"/>
      <c r="G72" s="581">
        <f>inputOth!D20</f>
        <v>50.973999999999997</v>
      </c>
      <c r="H72" s="582" t="s">
        <v>723</v>
      </c>
      <c r="I72" s="578"/>
      <c r="J72" s="579"/>
    </row>
    <row r="73" spans="2:10" x14ac:dyDescent="0.2">
      <c r="B73" s="275" t="s">
        <v>75</v>
      </c>
      <c r="C73" s="592">
        <f>SUM(C64:C71)</f>
        <v>91508</v>
      </c>
      <c r="D73" s="592">
        <f>SUM(D64:D71)</f>
        <v>99787</v>
      </c>
      <c r="E73" s="592">
        <f>SUM(E64:E71)</f>
        <v>106682</v>
      </c>
      <c r="F73"/>
      <c r="G73" s="577" t="e">
        <f>'Summary Budget Hearing Notice'!H52</f>
        <v>#REF!</v>
      </c>
      <c r="H73" s="376" t="str">
        <f>CONCATENATE(E1," Estimated Total Mill Rate")</f>
        <v>2024 Estimated Total Mill Rate</v>
      </c>
      <c r="I73" s="578"/>
      <c r="J73" s="579"/>
    </row>
    <row r="74" spans="2:10" x14ac:dyDescent="0.2">
      <c r="B74" s="266" t="s">
        <v>138</v>
      </c>
      <c r="C74" s="456">
        <f>SUM(C62-C73)</f>
        <v>2242</v>
      </c>
      <c r="D74" s="456">
        <f>SUM(D62-D73)</f>
        <v>4250</v>
      </c>
      <c r="E74" s="280" t="s">
        <v>49</v>
      </c>
      <c r="F74"/>
      <c r="G74" s="583">
        <f>'Summary Budget Hearing Notice'!E52</f>
        <v>54.954999999999991</v>
      </c>
      <c r="H74" s="376" t="str">
        <f>CONCATENATE(E1-1," Total Mill Rate")</f>
        <v>2023 Total Mill Rate</v>
      </c>
      <c r="I74" s="578"/>
      <c r="J74" s="579"/>
    </row>
    <row r="75" spans="2:10" x14ac:dyDescent="0.2">
      <c r="B75" s="457" t="str">
        <f>CONCATENATE("",E1-2,"/",E1-1,"/",E1," Budget Authority Amount:")</f>
        <v>2022/2023/2024 Budget Authority Amount:</v>
      </c>
      <c r="C75" s="456">
        <f>inputOth!B67</f>
        <v>92883</v>
      </c>
      <c r="D75" s="456">
        <f>inputPrYr!D20</f>
        <v>99787</v>
      </c>
      <c r="E75" s="267">
        <f>E73</f>
        <v>106682</v>
      </c>
      <c r="F75"/>
      <c r="G75" s="396"/>
      <c r="H75" s="383"/>
      <c r="I75" s="383"/>
      <c r="J75" s="403"/>
    </row>
    <row r="76" spans="2:10" x14ac:dyDescent="0.2">
      <c r="B76" s="271"/>
      <c r="C76" s="695" t="s">
        <v>320</v>
      </c>
      <c r="D76" s="696"/>
      <c r="E76" s="39"/>
      <c r="F76"/>
      <c r="G76" s="708" t="s">
        <v>724</v>
      </c>
      <c r="H76" s="709"/>
      <c r="I76" s="709"/>
      <c r="J76" s="712" t="e">
        <f>IF(G73&gt;G72, "Yes", "No")</f>
        <v>#REF!</v>
      </c>
    </row>
    <row r="77" spans="2:10" x14ac:dyDescent="0.2">
      <c r="B77" s="329" t="str">
        <f>CONCATENATE(C100,"     ",D100)</f>
        <v xml:space="preserve">     </v>
      </c>
      <c r="C77" s="697" t="s">
        <v>321</v>
      </c>
      <c r="D77" s="698"/>
      <c r="E77" s="267">
        <f>SUM(E73+E76)</f>
        <v>106682</v>
      </c>
      <c r="F77"/>
      <c r="G77" s="710"/>
      <c r="H77" s="711"/>
      <c r="I77" s="711"/>
      <c r="J77" s="713"/>
    </row>
    <row r="78" spans="2:10" x14ac:dyDescent="0.2">
      <c r="B78" s="329" t="str">
        <f>CONCATENATE(C101,"     ",D101)</f>
        <v xml:space="preserve">     </v>
      </c>
      <c r="C78" s="277"/>
      <c r="D78" s="272" t="s">
        <v>76</v>
      </c>
      <c r="E78" s="456">
        <f>IF(E77-E62&gt;0,E77-E62,0)</f>
        <v>94184</v>
      </c>
      <c r="F78" s="185"/>
      <c r="G78" s="714" t="e">
        <f>IF(J76="Yes", "Follow procedure prescribed by KSA 79-2988 to exceed the Revenue Neutral Rate.", " ")</f>
        <v>#REF!</v>
      </c>
      <c r="H78" s="714"/>
      <c r="I78" s="714"/>
      <c r="J78" s="714"/>
    </row>
    <row r="79" spans="2:10" x14ac:dyDescent="0.2">
      <c r="B79" s="272"/>
      <c r="C79" s="255" t="s">
        <v>319</v>
      </c>
      <c r="D79" s="450">
        <f>inputOth!$E$52</f>
        <v>1.4E-2</v>
      </c>
      <c r="E79" s="267">
        <f>ROUND(IF(D79&gt;0,(E78*D79),0),0)</f>
        <v>1319</v>
      </c>
      <c r="F79" s="401" t="str">
        <f>IF(E73/0.95-E73&lt;E76,"Exceeds 5%","")</f>
        <v/>
      </c>
      <c r="G79" s="715"/>
      <c r="H79" s="715"/>
      <c r="I79" s="715"/>
      <c r="J79" s="715"/>
    </row>
    <row r="80" spans="2:10" ht="16.5" thickBot="1" x14ac:dyDescent="0.25">
      <c r="B80" s="257"/>
      <c r="C80" s="716" t="str">
        <f>CONCATENATE("Amount of  ",E1-1," Ad Valorem Tax")</f>
        <v>Amount of  2023 Ad Valorem Tax</v>
      </c>
      <c r="D80" s="717"/>
      <c r="E80" s="379">
        <f>SUM(E78:E79)</f>
        <v>95503</v>
      </c>
      <c r="F80"/>
      <c r="G80" s="715"/>
      <c r="H80" s="715"/>
      <c r="I80" s="715"/>
      <c r="J80" s="715"/>
    </row>
    <row r="81" spans="2:6" ht="16.5" thickTop="1" x14ac:dyDescent="0.2">
      <c r="B81" s="257"/>
      <c r="C81" s="365"/>
      <c r="D81" s="257"/>
      <c r="E81" s="365"/>
      <c r="F81" s="411" t="str">
        <f>IF('Library Grant'!F33="","",IF('Library Grant'!F33="Qualify","Qualifies for State Library Grant","See 'Library Grant' tab"))</f>
        <v>Qualifies for State Library Grant</v>
      </c>
    </row>
    <row r="82" spans="2:6" x14ac:dyDescent="0.2">
      <c r="B82" s="538" t="s">
        <v>539</v>
      </c>
      <c r="C82" s="515"/>
      <c r="D82" s="516"/>
      <c r="E82" s="517"/>
      <c r="F82"/>
    </row>
    <row r="83" spans="2:6" x14ac:dyDescent="0.2">
      <c r="B83" s="337"/>
      <c r="C83" s="365"/>
      <c r="D83" s="334"/>
      <c r="E83" s="518"/>
    </row>
    <row r="84" spans="2:6" x14ac:dyDescent="0.2">
      <c r="B84" s="519"/>
      <c r="C84" s="520"/>
      <c r="D84" s="521"/>
      <c r="E84" s="522"/>
      <c r="F84"/>
    </row>
    <row r="85" spans="2:6" x14ac:dyDescent="0.25">
      <c r="B85" s="334"/>
      <c r="C85" s="365"/>
      <c r="D85" s="334"/>
      <c r="E85" s="365"/>
      <c r="F85" s="2"/>
    </row>
    <row r="86" spans="2:6" x14ac:dyDescent="0.2">
      <c r="B86" s="272" t="s">
        <v>78</v>
      </c>
      <c r="C86" s="463"/>
      <c r="D86" s="262"/>
      <c r="E86" s="257"/>
      <c r="F86"/>
    </row>
    <row r="87" spans="2:6" x14ac:dyDescent="0.25">
      <c r="F87" s="2"/>
    </row>
    <row r="88" spans="2:6" x14ac:dyDescent="0.25">
      <c r="B88" s="263"/>
      <c r="C88" s="263"/>
      <c r="D88" s="256"/>
      <c r="E88" s="256"/>
      <c r="F88" s="2"/>
    </row>
    <row r="93" spans="2:6" x14ac:dyDescent="0.2">
      <c r="C93" s="258" t="s">
        <v>323</v>
      </c>
      <c r="D93" s="258" t="s">
        <v>323</v>
      </c>
    </row>
    <row r="94" spans="2:6" ht="1.5" customHeight="1" x14ac:dyDescent="0.2">
      <c r="C94" s="258" t="s">
        <v>323</v>
      </c>
      <c r="D94" s="258" t="s">
        <v>323</v>
      </c>
    </row>
    <row r="95" spans="2:6" ht="15" hidden="1" customHeight="1" x14ac:dyDescent="0.2"/>
    <row r="96" spans="2:6" ht="15.75" hidden="1" customHeight="1" x14ac:dyDescent="0.2">
      <c r="C96" s="258" t="s">
        <v>323</v>
      </c>
      <c r="D96" s="258" t="s">
        <v>323</v>
      </c>
    </row>
    <row r="97" spans="3:4" ht="1.5" hidden="1" customHeight="1" x14ac:dyDescent="0.2">
      <c r="C97" s="258" t="s">
        <v>323</v>
      </c>
      <c r="D97" s="258" t="s">
        <v>323</v>
      </c>
    </row>
    <row r="98" spans="3:4" ht="43.5" hidden="1" customHeight="1" x14ac:dyDescent="0.2">
      <c r="C98" s="328" t="str">
        <f>IF(C33&gt;C35,"See Tab A","")</f>
        <v/>
      </c>
      <c r="D98" s="328" t="str">
        <f>IF(D33&gt;D35,"See Tab C","")</f>
        <v/>
      </c>
    </row>
    <row r="99" spans="3:4" ht="24.75" customHeight="1" x14ac:dyDescent="0.2">
      <c r="C99" s="328" t="str">
        <f>IF(C34&lt;0,"See Tab B","")</f>
        <v/>
      </c>
      <c r="D99" s="328" t="str">
        <f>IF(D34&lt;0,"See Tab D","")</f>
        <v/>
      </c>
    </row>
    <row r="100" spans="3:4" x14ac:dyDescent="0.2">
      <c r="C100" s="328" t="str">
        <f>IF(C73&gt;C75,"See Tab A","")</f>
        <v/>
      </c>
      <c r="D100" s="328" t="str">
        <f>IF(D73&gt;D75,"See Tab C","")</f>
        <v/>
      </c>
    </row>
    <row r="101" spans="3:4" x14ac:dyDescent="0.2">
      <c r="C101" s="328" t="str">
        <f>IF(C74&lt;0,"See Tab B","")</f>
        <v/>
      </c>
      <c r="D101" s="328" t="str">
        <f>IF(D74&lt;0,"See Tab D","")</f>
        <v/>
      </c>
    </row>
  </sheetData>
  <sheetProtection sheet="1" objects="1" scenarios="1"/>
  <mergeCells count="18">
    <mergeCell ref="G76:I77"/>
    <mergeCell ref="J76:J77"/>
    <mergeCell ref="G78:J80"/>
    <mergeCell ref="G16:J16"/>
    <mergeCell ref="G9:J9"/>
    <mergeCell ref="G51:J51"/>
    <mergeCell ref="G58:J58"/>
    <mergeCell ref="G26:J27"/>
    <mergeCell ref="G34:I35"/>
    <mergeCell ref="J34:J35"/>
    <mergeCell ref="G36:J38"/>
    <mergeCell ref="G68:J69"/>
    <mergeCell ref="C80:D80"/>
    <mergeCell ref="C76:D76"/>
    <mergeCell ref="C77:D77"/>
    <mergeCell ref="C36:D36"/>
    <mergeCell ref="C37:D37"/>
    <mergeCell ref="C40:D40"/>
  </mergeCells>
  <phoneticPr fontId="8" type="noConversion"/>
  <conditionalFormatting sqref="C19">
    <cfRule type="cellIs" dxfId="139" priority="22" stopIfTrue="1" operator="greaterThan">
      <formula>$C$21*0.1</formula>
    </cfRule>
  </conditionalFormatting>
  <conditionalFormatting sqref="C31">
    <cfRule type="cellIs" dxfId="138" priority="26" stopIfTrue="1" operator="greaterThan">
      <formula>$C$33*0.1</formula>
    </cfRule>
  </conditionalFormatting>
  <conditionalFormatting sqref="C33">
    <cfRule type="expression" dxfId="137" priority="8">
      <formula>$C$33&gt;$C$35</formula>
    </cfRule>
  </conditionalFormatting>
  <conditionalFormatting sqref="C34">
    <cfRule type="expression" dxfId="136" priority="7">
      <formula>$C$34&lt;0</formula>
    </cfRule>
  </conditionalFormatting>
  <conditionalFormatting sqref="C59">
    <cfRule type="cellIs" dxfId="135" priority="32" stopIfTrue="1" operator="greaterThan">
      <formula>$C$61*0.1</formula>
    </cfRule>
  </conditionalFormatting>
  <conditionalFormatting sqref="C71">
    <cfRule type="cellIs" dxfId="134" priority="29" stopIfTrue="1" operator="greaterThan">
      <formula>$C$73*0.1</formula>
    </cfRule>
  </conditionalFormatting>
  <conditionalFormatting sqref="C73">
    <cfRule type="expression" dxfId="133" priority="4">
      <formula>$C$73&gt;$C$75</formula>
    </cfRule>
  </conditionalFormatting>
  <conditionalFormatting sqref="C74">
    <cfRule type="expression" dxfId="132" priority="3">
      <formula>$C$74&lt;0</formula>
    </cfRule>
  </conditionalFormatting>
  <conditionalFormatting sqref="D19 D59">
    <cfRule type="cellIs" dxfId="131" priority="31" stopIfTrue="1" operator="greaterThan">
      <formula>$D$21*0.1</formula>
    </cfRule>
  </conditionalFormatting>
  <conditionalFormatting sqref="D31">
    <cfRule type="cellIs" dxfId="130" priority="25" stopIfTrue="1" operator="greaterThan">
      <formula>$D$33*0.1</formula>
    </cfRule>
  </conditionalFormatting>
  <conditionalFormatting sqref="D33">
    <cfRule type="expression" dxfId="129" priority="6">
      <formula>$D$33&gt;$D$35</formula>
    </cfRule>
  </conditionalFormatting>
  <conditionalFormatting sqref="D34">
    <cfRule type="expression" dxfId="128" priority="5">
      <formula>$D$34&lt;0</formula>
    </cfRule>
  </conditionalFormatting>
  <conditionalFormatting sqref="D71">
    <cfRule type="cellIs" dxfId="127" priority="28" stopIfTrue="1" operator="greaterThan">
      <formula>$D$73*0.1</formula>
    </cfRule>
  </conditionalFormatting>
  <conditionalFormatting sqref="D73">
    <cfRule type="expression" dxfId="126" priority="2">
      <formula>$D$73&gt;$D$75</formula>
    </cfRule>
  </conditionalFormatting>
  <conditionalFormatting sqref="D74">
    <cfRule type="expression" dxfId="125" priority="1">
      <formula>$D$74&lt;0</formula>
    </cfRule>
  </conditionalFormatting>
  <conditionalFormatting sqref="E19">
    <cfRule type="cellIs" dxfId="124" priority="21" stopIfTrue="1" operator="greaterThan">
      <formula>$E$21*0.1+E40</formula>
    </cfRule>
  </conditionalFormatting>
  <conditionalFormatting sqref="E31">
    <cfRule type="cellIs" dxfId="123" priority="24" stopIfTrue="1" operator="greaterThan">
      <formula>$E$33*0.1</formula>
    </cfRule>
  </conditionalFormatting>
  <conditionalFormatting sqref="E36">
    <cfRule type="cellIs" dxfId="122" priority="20" stopIfTrue="1" operator="greaterThan">
      <formula>$E$33/0.95-$E$33</formula>
    </cfRule>
  </conditionalFormatting>
  <conditionalFormatting sqref="E59">
    <cfRule type="cellIs" dxfId="121" priority="30" stopIfTrue="1" operator="greaterThan">
      <formula>$E$21*0.1+E80</formula>
    </cfRule>
  </conditionalFormatting>
  <conditionalFormatting sqref="E71">
    <cfRule type="cellIs" dxfId="120" priority="27" stopIfTrue="1" operator="greaterThan">
      <formula>$E$73*0.1</formula>
    </cfRule>
  </conditionalFormatting>
  <conditionalFormatting sqref="E76">
    <cfRule type="cellIs" dxfId="119" priority="19" stopIfTrue="1" operator="greaterThan">
      <formula>$E$73/0.95-$E$73</formula>
    </cfRule>
  </conditionalFormatting>
  <conditionalFormatting sqref="J34">
    <cfRule type="containsText" dxfId="118" priority="10" operator="containsText" text="Yes">
      <formula>NOT(ISERROR(SEARCH("Yes",J34)))</formula>
    </cfRule>
  </conditionalFormatting>
  <conditionalFormatting sqref="J76">
    <cfRule type="containsText" dxfId="117" priority="9" operator="containsText" text="Yes">
      <formula>NOT(ISERROR(SEARCH("Yes",J76)))</formula>
    </cfRule>
  </conditionalFormatting>
  <pageMargins left="0.75" right="0.75" top="1" bottom="1" header="0.5" footer="0.5"/>
  <pageSetup scale="52" orientation="portrait" blackAndWhite="1" r:id="rId1"/>
  <headerFooter alignWithMargins="0">
    <oddHeader>&amp;RState of Kansas
City</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101"/>
  <sheetViews>
    <sheetView zoomScaleNormal="100" workbookViewId="0">
      <selection activeCell="E24" sqref="E24"/>
    </sheetView>
  </sheetViews>
  <sheetFormatPr defaultColWidth="8.88671875" defaultRowHeight="15.75" x14ac:dyDescent="0.2"/>
  <cols>
    <col min="1" max="1" width="2.44140625" style="26" customWidth="1"/>
    <col min="2" max="2" width="31.109375" style="26" customWidth="1"/>
    <col min="3" max="4" width="15.77734375" style="26" customWidth="1"/>
    <col min="5" max="5" width="16.21875" style="26" customWidth="1"/>
    <col min="6" max="6" width="8.88671875" style="26"/>
    <col min="7" max="7" width="10.21875" style="26" customWidth="1"/>
    <col min="8" max="8" width="8.88671875" style="26"/>
    <col min="9" max="9" width="5.5546875" style="26" customWidth="1"/>
    <col min="10" max="10" width="10" style="26" customWidth="1"/>
    <col min="11" max="16384" width="8.88671875" style="26"/>
  </cols>
  <sheetData>
    <row r="1" spans="2:10" x14ac:dyDescent="0.2">
      <c r="B1" s="47" t="str">
        <f>(inputPrYr!D3)</f>
        <v>Wellsville</v>
      </c>
      <c r="C1" s="28"/>
      <c r="D1" s="28"/>
      <c r="E1" s="80">
        <f>inputPrYr!C6</f>
        <v>2024</v>
      </c>
    </row>
    <row r="2" spans="2:10" x14ac:dyDescent="0.2">
      <c r="B2" s="28"/>
      <c r="C2" s="28"/>
      <c r="D2" s="28"/>
      <c r="E2" s="107"/>
    </row>
    <row r="3" spans="2:10" x14ac:dyDescent="0.2">
      <c r="B3" s="161" t="s">
        <v>123</v>
      </c>
      <c r="C3" s="115"/>
      <c r="D3" s="115"/>
      <c r="E3" s="133"/>
    </row>
    <row r="4" spans="2:10" x14ac:dyDescent="0.2">
      <c r="B4" s="29" t="s">
        <v>59</v>
      </c>
      <c r="C4" s="442" t="s">
        <v>479</v>
      </c>
      <c r="D4" s="443" t="s">
        <v>480</v>
      </c>
      <c r="E4" s="87" t="s">
        <v>481</v>
      </c>
    </row>
    <row r="5" spans="2:10" x14ac:dyDescent="0.2">
      <c r="B5" s="332" t="str">
        <f>inputPrYr!B22</f>
        <v>Employee Benefits</v>
      </c>
      <c r="C5" s="138" t="str">
        <f>CONCATENATE("Actual for ",E1-2,"")</f>
        <v>Actual for 2022</v>
      </c>
      <c r="D5" s="138" t="str">
        <f>CONCATENATE("Estimate for ",E1-1,"")</f>
        <v>Estimate for 2023</v>
      </c>
      <c r="E5" s="122" t="str">
        <f>CONCATENATE("Year for ",E1,"")</f>
        <v>Year for 2024</v>
      </c>
    </row>
    <row r="6" spans="2:10" x14ac:dyDescent="0.2">
      <c r="B6" s="163" t="s">
        <v>137</v>
      </c>
      <c r="C6" s="168">
        <v>12146</v>
      </c>
      <c r="D6" s="166">
        <f>C33</f>
        <v>25513</v>
      </c>
      <c r="E6" s="141">
        <f>D33</f>
        <v>23471</v>
      </c>
    </row>
    <row r="7" spans="2:10" x14ac:dyDescent="0.2">
      <c r="B7" s="167" t="s">
        <v>139</v>
      </c>
      <c r="C7" s="102"/>
      <c r="D7" s="102"/>
      <c r="E7" s="52"/>
    </row>
    <row r="8" spans="2:10" x14ac:dyDescent="0.2">
      <c r="B8" s="93" t="s">
        <v>60</v>
      </c>
      <c r="C8" s="168">
        <v>101445</v>
      </c>
      <c r="D8" s="166">
        <f>IF(inputPrYr!H21&gt;0,inputPrYr!G26,inputPrYr!E22)</f>
        <v>112256</v>
      </c>
      <c r="E8" s="193" t="s">
        <v>49</v>
      </c>
      <c r="G8" s="718" t="str">
        <f>CONCATENATE("Desired Carryover Into ",E1+1,"")</f>
        <v>Desired Carryover Into 2025</v>
      </c>
      <c r="H8" s="700"/>
      <c r="I8" s="700"/>
      <c r="J8" s="701"/>
    </row>
    <row r="9" spans="2:10" x14ac:dyDescent="0.2">
      <c r="B9" s="93" t="s">
        <v>61</v>
      </c>
      <c r="C9" s="168">
        <v>2634</v>
      </c>
      <c r="D9" s="168"/>
      <c r="E9" s="39"/>
      <c r="G9" s="382"/>
      <c r="H9" s="383"/>
      <c r="I9" s="384"/>
      <c r="J9" s="385"/>
    </row>
    <row r="10" spans="2:10" x14ac:dyDescent="0.2">
      <c r="B10" s="93" t="s">
        <v>62</v>
      </c>
      <c r="C10" s="168">
        <v>12012</v>
      </c>
      <c r="D10" s="168">
        <v>10049</v>
      </c>
      <c r="E10" s="141">
        <f>Mvalloc!D10</f>
        <v>9423</v>
      </c>
      <c r="G10" s="386" t="s">
        <v>349</v>
      </c>
      <c r="H10" s="384"/>
      <c r="I10" s="384"/>
      <c r="J10" s="387">
        <v>0</v>
      </c>
    </row>
    <row r="11" spans="2:10" x14ac:dyDescent="0.2">
      <c r="B11" s="93" t="s">
        <v>63</v>
      </c>
      <c r="C11" s="168">
        <v>275</v>
      </c>
      <c r="D11" s="168">
        <v>213</v>
      </c>
      <c r="E11" s="141">
        <f>Mvalloc!E10</f>
        <v>205</v>
      </c>
      <c r="G11" s="382" t="s">
        <v>350</v>
      </c>
      <c r="H11" s="383"/>
      <c r="I11" s="383"/>
      <c r="J11" s="388" t="str">
        <f>IF(J10=0,"",ROUND((J10+E39-G23)/inputOth!E7*1000,3)-G28)</f>
        <v/>
      </c>
    </row>
    <row r="12" spans="2:10" x14ac:dyDescent="0.2">
      <c r="B12" s="102" t="s">
        <v>130</v>
      </c>
      <c r="C12" s="168"/>
      <c r="D12" s="168">
        <v>25</v>
      </c>
      <c r="E12" s="141">
        <f>Mvalloc!F10</f>
        <v>76</v>
      </c>
      <c r="G12" s="389" t="str">
        <f>CONCATENATE("",E1," Tot Exp/Non-Appr Must Be:")</f>
        <v>2024 Tot Exp/Non-Appr Must Be:</v>
      </c>
      <c r="H12" s="390"/>
      <c r="I12" s="391"/>
      <c r="J12" s="392">
        <f>IF(J10&gt;0,IF(E36&lt;E21,IF(J10=G23,E36,((J10-G23)*(1-D38))+E21),E36+(J10-G23)),0)</f>
        <v>0</v>
      </c>
    </row>
    <row r="13" spans="2:10" x14ac:dyDescent="0.2">
      <c r="B13" s="508" t="s">
        <v>528</v>
      </c>
      <c r="C13" s="168">
        <v>325</v>
      </c>
      <c r="D13" s="168">
        <v>362</v>
      </c>
      <c r="E13" s="141">
        <f>Mvalloc!G10</f>
        <v>271</v>
      </c>
      <c r="G13" s="393" t="s">
        <v>423</v>
      </c>
      <c r="H13" s="394"/>
      <c r="I13" s="394"/>
      <c r="J13" s="395">
        <f>IF(J10&gt;0,J12-E36,0)</f>
        <v>0</v>
      </c>
    </row>
    <row r="14" spans="2:10" x14ac:dyDescent="0.25">
      <c r="B14" s="508" t="s">
        <v>529</v>
      </c>
      <c r="C14" s="168"/>
      <c r="D14" s="168">
        <v>53</v>
      </c>
      <c r="E14" s="141">
        <f>Mvalloc!H10</f>
        <v>47</v>
      </c>
      <c r="J14" s="2"/>
    </row>
    <row r="15" spans="2:10" x14ac:dyDescent="0.2">
      <c r="B15" s="183"/>
      <c r="C15" s="168"/>
      <c r="D15" s="168"/>
      <c r="E15" s="39"/>
      <c r="G15" s="718" t="str">
        <f>CONCATENATE("Projected Carryover Into ",E1+1,"")</f>
        <v>Projected Carryover Into 2025</v>
      </c>
      <c r="H15" s="719"/>
      <c r="I15" s="719"/>
      <c r="J15" s="720"/>
    </row>
    <row r="16" spans="2:10" x14ac:dyDescent="0.25">
      <c r="B16" s="172" t="s">
        <v>67</v>
      </c>
      <c r="C16" s="168"/>
      <c r="D16" s="168"/>
      <c r="E16" s="39"/>
      <c r="G16" s="382"/>
      <c r="H16" s="384"/>
      <c r="I16" s="384"/>
      <c r="J16" s="397"/>
    </row>
    <row r="17" spans="2:11" x14ac:dyDescent="0.25">
      <c r="B17" s="184" t="s">
        <v>8</v>
      </c>
      <c r="C17" s="168"/>
      <c r="D17" s="168"/>
      <c r="E17" s="141">
        <f>'NR Rebate'!E9*-1</f>
        <v>0</v>
      </c>
      <c r="G17" s="398">
        <f>D33</f>
        <v>23471</v>
      </c>
      <c r="H17" s="376" t="str">
        <f>CONCATENATE("",E1-1," Ending Cash Balance (est.)")</f>
        <v>2023 Ending Cash Balance (est.)</v>
      </c>
      <c r="I17" s="399"/>
      <c r="J17" s="397"/>
    </row>
    <row r="18" spans="2:11" x14ac:dyDescent="0.25">
      <c r="B18" s="102" t="s">
        <v>9</v>
      </c>
      <c r="C18" s="168"/>
      <c r="D18" s="168"/>
      <c r="E18" s="39"/>
      <c r="G18" s="398">
        <f>E20</f>
        <v>10022</v>
      </c>
      <c r="H18" s="384" t="str">
        <f>CONCATENATE("",E1," Non-AV Receipts (est.)")</f>
        <v>2024 Non-AV Receipts (est.)</v>
      </c>
      <c r="I18" s="399"/>
      <c r="J18" s="397"/>
    </row>
    <row r="19" spans="2:11" x14ac:dyDescent="0.2">
      <c r="B19" s="163" t="s">
        <v>352</v>
      </c>
      <c r="C19" s="173" t="str">
        <f>IF(C20*0.1&lt;C18,"Exceed 10% Rule","")</f>
        <v/>
      </c>
      <c r="D19" s="173" t="str">
        <f>IF(D20*0.1&lt;D18,"Exceed 10% Rule","")</f>
        <v/>
      </c>
      <c r="E19" s="204" t="str">
        <f>IF(E20*0.1+E39&lt;E18,"Exceed 10% Rule","")</f>
        <v/>
      </c>
      <c r="G19" s="400">
        <f>IF(E38&gt;0,E37,E39)</f>
        <v>106507</v>
      </c>
      <c r="H19" s="384" t="str">
        <f>CONCATENATE("",E1," Ad Valorem Tax (est.)")</f>
        <v>2024 Ad Valorem Tax (est.)</v>
      </c>
      <c r="I19" s="399"/>
      <c r="J19" s="378"/>
      <c r="K19" s="377" t="str">
        <f>IF(G19=E39,"","Note: Does not include Delinquent Taxes")</f>
        <v>Note: Does not include Delinquent Taxes</v>
      </c>
    </row>
    <row r="20" spans="2:11" x14ac:dyDescent="0.25">
      <c r="B20" s="175" t="s">
        <v>68</v>
      </c>
      <c r="C20" s="591">
        <f>SUM(C8:C18)</f>
        <v>116691</v>
      </c>
      <c r="D20" s="591">
        <f>SUM(D8:D18)</f>
        <v>122958</v>
      </c>
      <c r="E20" s="591">
        <f>SUM(E8:E18)</f>
        <v>10022</v>
      </c>
      <c r="G20" s="398">
        <f>SUM(G17:G19)</f>
        <v>140000</v>
      </c>
      <c r="H20" s="384" t="str">
        <f>CONCATENATE("Total ",E1," Resources Available")</f>
        <v>Total 2024 Resources Available</v>
      </c>
      <c r="I20" s="399"/>
      <c r="J20" s="397"/>
    </row>
    <row r="21" spans="2:11" x14ac:dyDescent="0.25">
      <c r="B21" s="175" t="s">
        <v>69</v>
      </c>
      <c r="C21" s="591">
        <f>C6+C20</f>
        <v>128837</v>
      </c>
      <c r="D21" s="591">
        <f>D6+D20</f>
        <v>148471</v>
      </c>
      <c r="E21" s="591">
        <f>E6+E20</f>
        <v>33493</v>
      </c>
      <c r="G21" s="434"/>
      <c r="H21" s="384"/>
      <c r="I21" s="384"/>
      <c r="J21" s="397"/>
    </row>
    <row r="22" spans="2:11" x14ac:dyDescent="0.25">
      <c r="B22" s="93" t="s">
        <v>71</v>
      </c>
      <c r="C22" s="184"/>
      <c r="D22" s="184"/>
      <c r="E22" s="38"/>
      <c r="G22" s="400">
        <f>ROUND(C32*0.05+C32,0)</f>
        <v>108490</v>
      </c>
      <c r="H22" s="384" t="str">
        <f>CONCATENATE("Less ",E1-2," Expenditures + 5%")</f>
        <v>Less 2022 Expenditures + 5%</v>
      </c>
      <c r="I22" s="399"/>
      <c r="J22" s="397"/>
    </row>
    <row r="23" spans="2:11" x14ac:dyDescent="0.25">
      <c r="B23" s="183" t="s">
        <v>1033</v>
      </c>
      <c r="C23" s="168">
        <v>44302</v>
      </c>
      <c r="D23" s="168">
        <v>125000</v>
      </c>
      <c r="E23" s="39">
        <v>140000</v>
      </c>
      <c r="G23" s="435">
        <f>G20-G22</f>
        <v>31510</v>
      </c>
      <c r="H23" s="436" t="str">
        <f>CONCATENATE("Projected ",E1+1," carryover (est.)")</f>
        <v>Projected 2025 carryover (est.)</v>
      </c>
      <c r="I23" s="437"/>
      <c r="J23" s="410"/>
    </row>
    <row r="24" spans="2:11" x14ac:dyDescent="0.25">
      <c r="B24" s="183" t="s">
        <v>1034</v>
      </c>
      <c r="C24" s="168">
        <v>8338</v>
      </c>
      <c r="D24" s="168"/>
      <c r="E24" s="39"/>
      <c r="G24" s="2"/>
      <c r="H24" s="2"/>
      <c r="I24" s="2"/>
      <c r="J24" s="2"/>
    </row>
    <row r="25" spans="2:11" x14ac:dyDescent="0.2">
      <c r="B25" s="183" t="s">
        <v>1035</v>
      </c>
      <c r="C25" s="168">
        <v>50545</v>
      </c>
      <c r="D25" s="168"/>
      <c r="E25" s="39"/>
      <c r="G25" s="702" t="s">
        <v>722</v>
      </c>
      <c r="H25" s="703"/>
      <c r="I25" s="703"/>
      <c r="J25" s="704"/>
    </row>
    <row r="26" spans="2:11" x14ac:dyDescent="0.2">
      <c r="B26" s="183" t="s">
        <v>1036</v>
      </c>
      <c r="C26" s="168">
        <v>139</v>
      </c>
      <c r="D26" s="168"/>
      <c r="E26" s="39"/>
      <c r="G26" s="705"/>
      <c r="H26" s="706"/>
      <c r="I26" s="706"/>
      <c r="J26" s="707"/>
    </row>
    <row r="27" spans="2:11" x14ac:dyDescent="0.2">
      <c r="B27" s="183" t="s">
        <v>1037</v>
      </c>
      <c r="C27" s="168"/>
      <c r="D27" s="168"/>
      <c r="E27" s="39"/>
      <c r="G27" s="577">
        <f>'Summary Budget Hearing Notice'!H18</f>
        <v>5.1779999999999999</v>
      </c>
      <c r="H27" s="376" t="str">
        <f>CONCATENATE("",E1," Estimated Fund Mill Rate")</f>
        <v>2024 Estimated Fund Mill Rate</v>
      </c>
      <c r="I27" s="578"/>
      <c r="J27" s="579"/>
    </row>
    <row r="28" spans="2:11" x14ac:dyDescent="0.2">
      <c r="B28" s="183"/>
      <c r="C28" s="168"/>
      <c r="D28" s="168"/>
      <c r="E28" s="39"/>
      <c r="G28" s="580">
        <f>'Summary Budget Hearing Notice'!E52</f>
        <v>54.954999999999991</v>
      </c>
      <c r="H28" s="376" t="str">
        <f>CONCATENATE("",E1-1," Fund Mill Rate")</f>
        <v>2023 Fund Mill Rate</v>
      </c>
      <c r="I28" s="578"/>
      <c r="J28" s="579"/>
    </row>
    <row r="29" spans="2:11" x14ac:dyDescent="0.2">
      <c r="B29" s="184" t="str">
        <f>CONCATENATE("Cash Forward (",E1," column)")</f>
        <v>Cash Forward (2024 column)</v>
      </c>
      <c r="C29" s="168"/>
      <c r="D29" s="168"/>
      <c r="E29" s="39"/>
      <c r="G29" s="581">
        <f>inputOth!D20</f>
        <v>50.973999999999997</v>
      </c>
      <c r="H29" s="582" t="s">
        <v>723</v>
      </c>
      <c r="I29" s="578"/>
      <c r="J29" s="579"/>
    </row>
    <row r="30" spans="2:11" x14ac:dyDescent="0.2">
      <c r="B30" s="184" t="s">
        <v>9</v>
      </c>
      <c r="C30" s="168"/>
      <c r="D30" s="168"/>
      <c r="E30" s="39"/>
      <c r="G30" s="577" t="e">
        <f>'Summary Budget Hearing Notice'!H52</f>
        <v>#REF!</v>
      </c>
      <c r="H30" s="376" t="str">
        <f>CONCATENATE(E1," Estimated Total Mill Rate")</f>
        <v>2024 Estimated Total Mill Rate</v>
      </c>
      <c r="I30" s="578"/>
      <c r="J30" s="579"/>
    </row>
    <row r="31" spans="2:11" x14ac:dyDescent="0.2">
      <c r="B31" s="184" t="s">
        <v>353</v>
      </c>
      <c r="C31" s="173" t="str">
        <f>IF(C32*0.1&lt;C30,"Exceed 10% Rule","")</f>
        <v/>
      </c>
      <c r="D31" s="173" t="str">
        <f>IF(D32*0.1&lt;D30,"Exceed 10% Rule","")</f>
        <v/>
      </c>
      <c r="E31" s="204" t="str">
        <f>IF(E32*0.1&lt;E30,"Exceed 10% Rule","")</f>
        <v/>
      </c>
      <c r="G31" s="583">
        <f>'Summary Budget Hearing Notice'!E52</f>
        <v>54.954999999999991</v>
      </c>
      <c r="H31" s="376" t="str">
        <f>CONCATENATE(E1-1," Total Mill Rate")</f>
        <v>2023 Total Mill Rate</v>
      </c>
      <c r="I31" s="578"/>
      <c r="J31" s="579"/>
    </row>
    <row r="32" spans="2:11" x14ac:dyDescent="0.2">
      <c r="B32" s="175" t="s">
        <v>75</v>
      </c>
      <c r="C32" s="591">
        <f>SUM(C23:C30)</f>
        <v>103324</v>
      </c>
      <c r="D32" s="591">
        <f>SUM(D23:D30)</f>
        <v>125000</v>
      </c>
      <c r="E32" s="591">
        <f>SUM(E23:E30)</f>
        <v>140000</v>
      </c>
      <c r="G32" s="396"/>
      <c r="H32" s="383"/>
      <c r="I32" s="383"/>
      <c r="J32" s="403"/>
    </row>
    <row r="33" spans="2:10" x14ac:dyDescent="0.2">
      <c r="B33" s="93" t="s">
        <v>138</v>
      </c>
      <c r="C33" s="141">
        <f>C21-C32</f>
        <v>25513</v>
      </c>
      <c r="D33" s="141">
        <f>D21-D32</f>
        <v>23471</v>
      </c>
      <c r="E33" s="193" t="s">
        <v>49</v>
      </c>
      <c r="G33" s="708" t="s">
        <v>724</v>
      </c>
      <c r="H33" s="709"/>
      <c r="I33" s="709"/>
      <c r="J33" s="712" t="e">
        <f>IF(G30&gt;G29, "Yes", "No")</f>
        <v>#REF!</v>
      </c>
    </row>
    <row r="34" spans="2:10" x14ac:dyDescent="0.2">
      <c r="B34" s="108" t="str">
        <f>CONCATENATE("",E1-2,"/",E1-1,"/",E1," Budget Authority Amount:")</f>
        <v>2022/2023/2024 Budget Authority Amount:</v>
      </c>
      <c r="C34" s="446">
        <f>inputOth!B68</f>
        <v>128000</v>
      </c>
      <c r="D34" s="446">
        <f>inputPrYr!D22</f>
        <v>130000</v>
      </c>
      <c r="E34" s="141">
        <f>E32</f>
        <v>140000</v>
      </c>
      <c r="G34" s="710"/>
      <c r="H34" s="711"/>
      <c r="I34" s="711"/>
      <c r="J34" s="713"/>
    </row>
    <row r="35" spans="2:10" x14ac:dyDescent="0.2">
      <c r="B35" s="80"/>
      <c r="C35" s="695" t="s">
        <v>320</v>
      </c>
      <c r="D35" s="696"/>
      <c r="E35" s="39"/>
      <c r="G35" s="714" t="e">
        <f>IF(J33="Yes", "Follow procedure prescribed by KSA 79-2988 to exceed the Revenue Neutral Rate.", " ")</f>
        <v>#REF!</v>
      </c>
      <c r="H35" s="714"/>
      <c r="I35" s="714"/>
      <c r="J35" s="714"/>
    </row>
    <row r="36" spans="2:10" x14ac:dyDescent="0.2">
      <c r="B36" s="329" t="str">
        <f>CONCATENATE(C98,"     ",D98)</f>
        <v xml:space="preserve">     </v>
      </c>
      <c r="C36" s="697" t="s">
        <v>321</v>
      </c>
      <c r="D36" s="698"/>
      <c r="E36" s="141">
        <f>E32+E35</f>
        <v>140000</v>
      </c>
      <c r="G36" s="715"/>
      <c r="H36" s="715"/>
      <c r="I36" s="715"/>
      <c r="J36" s="715"/>
    </row>
    <row r="37" spans="2:10" x14ac:dyDescent="0.2">
      <c r="B37" s="329" t="str">
        <f>CONCATENATE(C99,"     ",D99)</f>
        <v xml:space="preserve">     </v>
      </c>
      <c r="C37" s="186"/>
      <c r="D37" s="107" t="s">
        <v>76</v>
      </c>
      <c r="E37" s="141">
        <f>IF(E36-E21&gt;0,E36-E21,0)</f>
        <v>106507</v>
      </c>
      <c r="F37" s="185"/>
      <c r="G37" s="715"/>
      <c r="H37" s="715"/>
      <c r="I37" s="715"/>
      <c r="J37" s="715"/>
    </row>
    <row r="38" spans="2:10" x14ac:dyDescent="0.2">
      <c r="B38" s="107"/>
      <c r="C38" s="255" t="s">
        <v>319</v>
      </c>
      <c r="D38" s="450">
        <f>inputOth!$E$52</f>
        <v>1.4E-2</v>
      </c>
      <c r="E38" s="141">
        <f>ROUND(IF(D38&gt;0,(E37*D38),0),0)</f>
        <v>1491</v>
      </c>
      <c r="F38" s="451" t="str">
        <f>IF(E32/0.95-E32&lt;E35,"Exceeds 5%","")</f>
        <v/>
      </c>
    </row>
    <row r="39" spans="2:10" ht="16.5" thickBot="1" x14ac:dyDescent="0.25">
      <c r="B39" s="107"/>
      <c r="C39" s="676" t="str">
        <f>CONCATENATE("Amount of  ",$E$1-1," Ad Valorem Tax")</f>
        <v>Amount of  2023 Ad Valorem Tax</v>
      </c>
      <c r="D39" s="699"/>
      <c r="E39" s="381">
        <f>E37+E38</f>
        <v>107998</v>
      </c>
    </row>
    <row r="40" spans="2:10" ht="16.5" thickTop="1" x14ac:dyDescent="0.2">
      <c r="B40" s="28"/>
      <c r="C40" s="676"/>
      <c r="D40" s="699"/>
      <c r="E40" s="28"/>
    </row>
    <row r="41" spans="2:10" x14ac:dyDescent="0.2">
      <c r="B41" s="29"/>
      <c r="C41" s="195"/>
      <c r="D41" s="195"/>
      <c r="E41" s="195"/>
    </row>
    <row r="42" spans="2:10" x14ac:dyDescent="0.2">
      <c r="B42" s="29" t="s">
        <v>59</v>
      </c>
      <c r="C42" s="442" t="s">
        <v>479</v>
      </c>
      <c r="D42" s="443" t="s">
        <v>480</v>
      </c>
      <c r="E42" s="87" t="s">
        <v>481</v>
      </c>
    </row>
    <row r="43" spans="2:10" x14ac:dyDescent="0.2">
      <c r="B43" s="332" t="str">
        <f>(inputPrYr!B23)</f>
        <v>Library Employee Benefits</v>
      </c>
      <c r="C43" s="138" t="str">
        <f>CONCATENATE("Actual for ",E1-2,"")</f>
        <v>Actual for 2022</v>
      </c>
      <c r="D43" s="138" t="str">
        <f>CONCATENATE("Estimate for ",E1-1,"")</f>
        <v>Estimate for 2023</v>
      </c>
      <c r="E43" s="122" t="str">
        <f>CONCATENATE("Year for ",E1,"")</f>
        <v>Year for 2024</v>
      </c>
    </row>
    <row r="44" spans="2:10" x14ac:dyDescent="0.2">
      <c r="B44" s="163" t="s">
        <v>137</v>
      </c>
      <c r="C44" s="168">
        <v>0</v>
      </c>
      <c r="D44" s="166">
        <f>C73</f>
        <v>21</v>
      </c>
      <c r="E44" s="141">
        <f>D73</f>
        <v>112</v>
      </c>
    </row>
    <row r="45" spans="2:10" x14ac:dyDescent="0.2">
      <c r="B45" s="167" t="s">
        <v>139</v>
      </c>
      <c r="C45" s="102"/>
      <c r="D45" s="102"/>
      <c r="E45" s="52"/>
    </row>
    <row r="46" spans="2:10" x14ac:dyDescent="0.2">
      <c r="B46" s="93" t="s">
        <v>60</v>
      </c>
      <c r="C46" s="168">
        <v>7657</v>
      </c>
      <c r="D46" s="166">
        <f>IF(inputPrYr!H21&gt;0,inputPrYr!G27,inputPrYr!E23)</f>
        <v>7869</v>
      </c>
      <c r="E46" s="193" t="s">
        <v>49</v>
      </c>
    </row>
    <row r="47" spans="2:10" x14ac:dyDescent="0.2">
      <c r="B47" s="93" t="s">
        <v>61</v>
      </c>
      <c r="C47" s="168">
        <v>224</v>
      </c>
      <c r="D47" s="168"/>
      <c r="E47" s="39"/>
    </row>
    <row r="48" spans="2:10" x14ac:dyDescent="0.2">
      <c r="B48" s="93" t="s">
        <v>62</v>
      </c>
      <c r="C48" s="168"/>
      <c r="D48" s="168">
        <v>772</v>
      </c>
      <c r="E48" s="141">
        <f>Mvalloc!D11</f>
        <v>661</v>
      </c>
    </row>
    <row r="49" spans="2:11" x14ac:dyDescent="0.2">
      <c r="B49" s="93" t="s">
        <v>63</v>
      </c>
      <c r="C49" s="168"/>
      <c r="D49" s="168">
        <v>16</v>
      </c>
      <c r="E49" s="141">
        <f>Mvalloc!E11</f>
        <v>14</v>
      </c>
    </row>
    <row r="50" spans="2:11" x14ac:dyDescent="0.2">
      <c r="B50" s="102" t="s">
        <v>130</v>
      </c>
      <c r="C50" s="168"/>
      <c r="D50" s="168">
        <v>2</v>
      </c>
      <c r="E50" s="141">
        <f>Mvalloc!F11</f>
        <v>5</v>
      </c>
      <c r="G50" s="718" t="str">
        <f>CONCATENATE("Desired Carryover Into ",E1+1,"")</f>
        <v>Desired Carryover Into 2025</v>
      </c>
      <c r="H50" s="700"/>
      <c r="I50" s="700"/>
      <c r="J50" s="701"/>
    </row>
    <row r="51" spans="2:11" x14ac:dyDescent="0.2">
      <c r="B51" s="508" t="s">
        <v>528</v>
      </c>
      <c r="C51" s="168"/>
      <c r="D51" s="168">
        <v>28</v>
      </c>
      <c r="E51" s="141">
        <f>Mvalloc!G11</f>
        <v>19</v>
      </c>
      <c r="G51" s="382"/>
      <c r="H51" s="383"/>
      <c r="I51" s="384"/>
      <c r="J51" s="385"/>
    </row>
    <row r="52" spans="2:11" x14ac:dyDescent="0.2">
      <c r="B52" s="508" t="s">
        <v>529</v>
      </c>
      <c r="C52" s="168"/>
      <c r="D52" s="168">
        <v>4</v>
      </c>
      <c r="E52" s="141">
        <f>Mvalloc!H11</f>
        <v>3</v>
      </c>
      <c r="G52" s="386" t="s">
        <v>349</v>
      </c>
      <c r="H52" s="384"/>
      <c r="I52" s="384"/>
      <c r="J52" s="387">
        <v>0</v>
      </c>
    </row>
    <row r="53" spans="2:11" x14ac:dyDescent="0.2">
      <c r="B53" s="183"/>
      <c r="C53" s="168"/>
      <c r="D53" s="168"/>
      <c r="E53" s="39"/>
      <c r="G53" s="382" t="s">
        <v>350</v>
      </c>
      <c r="H53" s="383"/>
      <c r="I53" s="383"/>
      <c r="J53" s="388" t="str">
        <f>IF(J52=0,"",ROUND((J52+E79-G65)/inputOth!E7*1000,3)-G70)</f>
        <v/>
      </c>
    </row>
    <row r="54" spans="2:11" x14ac:dyDescent="0.2">
      <c r="B54" s="183"/>
      <c r="C54" s="168"/>
      <c r="D54" s="168"/>
      <c r="E54" s="39"/>
      <c r="G54" s="389" t="str">
        <f>CONCATENATE("",E1," Tot Exp/Non-Appr Must Be:")</f>
        <v>2024 Tot Exp/Non-Appr Must Be:</v>
      </c>
      <c r="H54" s="390"/>
      <c r="I54" s="391"/>
      <c r="J54" s="392">
        <f>IF(J52&gt;0,IF(E76&lt;E61,IF(J52=G65,E76,((J52-G65)*(1-D78))+E61),E76+(J52-G65)),0)</f>
        <v>0</v>
      </c>
    </row>
    <row r="55" spans="2:11" x14ac:dyDescent="0.2">
      <c r="B55" s="183"/>
      <c r="C55" s="168"/>
      <c r="D55" s="168"/>
      <c r="E55" s="39"/>
      <c r="G55" s="393" t="s">
        <v>423</v>
      </c>
      <c r="H55" s="394"/>
      <c r="I55" s="394"/>
      <c r="J55" s="395">
        <f>IF(J52&gt;0,J54-E76,0)</f>
        <v>0</v>
      </c>
    </row>
    <row r="56" spans="2:11" x14ac:dyDescent="0.25">
      <c r="B56" s="172" t="s">
        <v>67</v>
      </c>
      <c r="C56" s="168"/>
      <c r="D56" s="168"/>
      <c r="E56" s="39"/>
      <c r="J56" s="2"/>
    </row>
    <row r="57" spans="2:11" x14ac:dyDescent="0.2">
      <c r="B57" s="184" t="s">
        <v>8</v>
      </c>
      <c r="C57" s="168"/>
      <c r="D57" s="168"/>
      <c r="E57" s="141">
        <f>'NR Rebate'!E10*-1</f>
        <v>0</v>
      </c>
      <c r="G57" s="718" t="str">
        <f>CONCATENATE("Projected Carryover Into ",E1+1,"")</f>
        <v>Projected Carryover Into 2025</v>
      </c>
      <c r="H57" s="723"/>
      <c r="I57" s="723"/>
      <c r="J57" s="720"/>
    </row>
    <row r="58" spans="2:11" x14ac:dyDescent="0.2">
      <c r="B58" s="102" t="s">
        <v>9</v>
      </c>
      <c r="C58" s="168"/>
      <c r="D58" s="168"/>
      <c r="E58" s="39"/>
      <c r="G58" s="396"/>
      <c r="H58" s="383"/>
      <c r="I58" s="383"/>
      <c r="J58" s="403"/>
    </row>
    <row r="59" spans="2:11" x14ac:dyDescent="0.2">
      <c r="B59" s="163" t="s">
        <v>352</v>
      </c>
      <c r="C59" s="173" t="str">
        <f>IF(C60*0.1&lt;C58,"Exceed 10% Rule","")</f>
        <v/>
      </c>
      <c r="D59" s="173" t="str">
        <f>IF(D60*0.1&lt;D58,"Exceed 10% Rule","")</f>
        <v/>
      </c>
      <c r="E59" s="204" t="str">
        <f>IF(E60*0.1+E79&lt;E58,"Exceed 10% Rule","")</f>
        <v/>
      </c>
      <c r="G59" s="398">
        <f>D73</f>
        <v>112</v>
      </c>
      <c r="H59" s="376" t="str">
        <f>CONCATENATE("",E1-1," Ending Cash Balance (est.)")</f>
        <v>2023 Ending Cash Balance (est.)</v>
      </c>
      <c r="I59" s="399"/>
      <c r="J59" s="403"/>
    </row>
    <row r="60" spans="2:11" x14ac:dyDescent="0.2">
      <c r="B60" s="175" t="s">
        <v>68</v>
      </c>
      <c r="C60" s="591">
        <f>SUM(C46:C58)</f>
        <v>7881</v>
      </c>
      <c r="D60" s="591">
        <f>SUM(D46:D58)</f>
        <v>8691</v>
      </c>
      <c r="E60" s="591">
        <f>SUM(E46:E58)</f>
        <v>702</v>
      </c>
      <c r="G60" s="398">
        <f>E60</f>
        <v>702</v>
      </c>
      <c r="H60" s="384" t="str">
        <f>CONCATENATE("",E1," Non-AV Receipts (est.)")</f>
        <v>2024 Non-AV Receipts (est.)</v>
      </c>
      <c r="I60" s="399"/>
      <c r="J60" s="403"/>
    </row>
    <row r="61" spans="2:11" x14ac:dyDescent="0.2">
      <c r="B61" s="175" t="s">
        <v>69</v>
      </c>
      <c r="C61" s="591">
        <f>C44+C60</f>
        <v>7881</v>
      </c>
      <c r="D61" s="591">
        <f>D44+D60</f>
        <v>8712</v>
      </c>
      <c r="E61" s="591">
        <f>E44+E60</f>
        <v>814</v>
      </c>
      <c r="G61" s="400">
        <f>IF(D78&gt;0,E77,E79)</f>
        <v>7786</v>
      </c>
      <c r="H61" s="384" t="str">
        <f>CONCATENATE("",E1," Ad Valorem Tax (est.)")</f>
        <v>2024 Ad Valorem Tax (est.)</v>
      </c>
      <c r="I61" s="399"/>
      <c r="J61" s="403"/>
      <c r="K61" s="377" t="str">
        <f>IF(G61=E79,"","Note: Does not include Delinquent Taxes")</f>
        <v>Note: Does not include Delinquent Taxes</v>
      </c>
    </row>
    <row r="62" spans="2:11" x14ac:dyDescent="0.2">
      <c r="B62" s="93" t="s">
        <v>71</v>
      </c>
      <c r="C62" s="184"/>
      <c r="D62" s="184"/>
      <c r="E62" s="38"/>
      <c r="G62" s="402">
        <f>SUM(G59:G61)</f>
        <v>8600</v>
      </c>
      <c r="H62" s="384" t="str">
        <f>CONCATENATE("Total ",E1," Resources Available")</f>
        <v>Total 2024 Resources Available</v>
      </c>
      <c r="I62" s="403"/>
      <c r="J62" s="403"/>
    </row>
    <row r="63" spans="2:11" x14ac:dyDescent="0.2">
      <c r="B63" s="281" t="s">
        <v>1032</v>
      </c>
      <c r="C63" s="168">
        <v>7860</v>
      </c>
      <c r="D63" s="168">
        <v>8600</v>
      </c>
      <c r="E63" s="39">
        <v>8600</v>
      </c>
      <c r="G63" s="404"/>
      <c r="H63" s="405"/>
      <c r="I63" s="383"/>
      <c r="J63" s="403"/>
    </row>
    <row r="64" spans="2:11" x14ac:dyDescent="0.2">
      <c r="B64" s="183"/>
      <c r="C64" s="168"/>
      <c r="D64" s="168"/>
      <c r="E64" s="39"/>
      <c r="G64" s="406">
        <f>ROUND(C72*0.05+C72,0)</f>
        <v>8253</v>
      </c>
      <c r="H64" s="405" t="str">
        <f>CONCATENATE("Less ",E1-2," Expenditures + 5%")</f>
        <v>Less 2022 Expenditures + 5%</v>
      </c>
      <c r="I64" s="403"/>
      <c r="J64" s="403"/>
    </row>
    <row r="65" spans="2:10" x14ac:dyDescent="0.25">
      <c r="B65" s="183"/>
      <c r="C65" s="168"/>
      <c r="D65" s="168"/>
      <c r="E65" s="39"/>
      <c r="G65" s="407">
        <f>G62-G64</f>
        <v>347</v>
      </c>
      <c r="H65" s="408" t="str">
        <f>CONCATENATE("Projected ",E1+1," carryover (est.)")</f>
        <v>Projected 2025 carryover (est.)</v>
      </c>
      <c r="I65" s="409"/>
      <c r="J65" s="410"/>
    </row>
    <row r="66" spans="2:10" x14ac:dyDescent="0.25">
      <c r="B66" s="183"/>
      <c r="C66" s="168"/>
      <c r="D66" s="168"/>
      <c r="E66" s="39"/>
      <c r="G66" s="2"/>
      <c r="H66" s="2"/>
      <c r="I66" s="2"/>
    </row>
    <row r="67" spans="2:10" x14ac:dyDescent="0.2">
      <c r="B67" s="183"/>
      <c r="C67" s="168"/>
      <c r="D67" s="168"/>
      <c r="E67" s="39"/>
      <c r="G67" s="702" t="s">
        <v>722</v>
      </c>
      <c r="H67" s="703"/>
      <c r="I67" s="703"/>
      <c r="J67" s="704"/>
    </row>
    <row r="68" spans="2:10" x14ac:dyDescent="0.2">
      <c r="B68" s="183"/>
      <c r="C68" s="168"/>
      <c r="D68" s="168"/>
      <c r="E68" s="39"/>
      <c r="G68" s="705"/>
      <c r="H68" s="706"/>
      <c r="I68" s="706"/>
      <c r="J68" s="707"/>
    </row>
    <row r="69" spans="2:10" x14ac:dyDescent="0.2">
      <c r="B69" s="184" t="str">
        <f>CONCATENATE("Cash Forward (",E1," column)")</f>
        <v>Cash Forward (2024 column)</v>
      </c>
      <c r="C69" s="168"/>
      <c r="D69" s="168"/>
      <c r="E69" s="39"/>
      <c r="G69" s="577">
        <f>'Summary Budget Hearing Notice'!H19</f>
        <v>0.379</v>
      </c>
      <c r="H69" s="376" t="str">
        <f>CONCATENATE("",E1," Estimated Fund Mill Rate")</f>
        <v>2024 Estimated Fund Mill Rate</v>
      </c>
      <c r="I69" s="578"/>
      <c r="J69" s="579"/>
    </row>
    <row r="70" spans="2:10" x14ac:dyDescent="0.2">
      <c r="B70" s="184" t="s">
        <v>9</v>
      </c>
      <c r="C70" s="168"/>
      <c r="D70" s="168"/>
      <c r="E70" s="39"/>
      <c r="G70" s="580">
        <f>'Summary Budget Hearing Notice'!E18</f>
        <v>5.8029999999999999</v>
      </c>
      <c r="H70" s="376" t="str">
        <f>CONCATENATE("",E1-1," Fund Mill Rate")</f>
        <v>2023 Fund Mill Rate</v>
      </c>
      <c r="I70" s="578"/>
      <c r="J70" s="579"/>
    </row>
    <row r="71" spans="2:10" x14ac:dyDescent="0.2">
      <c r="B71" s="184" t="s">
        <v>353</v>
      </c>
      <c r="C71" s="173" t="str">
        <f>IF(C72*0.1&lt;C70,"Exceed 10% Rule","")</f>
        <v/>
      </c>
      <c r="D71" s="173" t="str">
        <f>IF(D72*0.1&lt;D70,"Exceed 10% Rule","")</f>
        <v/>
      </c>
      <c r="E71" s="204" t="str">
        <f>IF(E72*0.1&lt;E70,"Exceed 10% Rule","")</f>
        <v/>
      </c>
      <c r="G71" s="581">
        <f>inputOth!D20</f>
        <v>50.973999999999997</v>
      </c>
      <c r="H71" s="582" t="s">
        <v>723</v>
      </c>
      <c r="I71" s="578"/>
      <c r="J71" s="579"/>
    </row>
    <row r="72" spans="2:10" x14ac:dyDescent="0.2">
      <c r="B72" s="175" t="s">
        <v>75</v>
      </c>
      <c r="C72" s="141">
        <f>SUM(C63:C70)</f>
        <v>7860</v>
      </c>
      <c r="D72" s="141">
        <f>SUM(D63:D70)</f>
        <v>8600</v>
      </c>
      <c r="E72" s="141">
        <f>SUM(E63:E70)</f>
        <v>8600</v>
      </c>
      <c r="G72" s="577" t="e">
        <f>'Summary Budget Hearing Notice'!H52</f>
        <v>#REF!</v>
      </c>
      <c r="H72" s="376" t="str">
        <f>CONCATENATE(E1," Estimated Total Mill Rate")</f>
        <v>2024 Estimated Total Mill Rate</v>
      </c>
      <c r="I72" s="578"/>
      <c r="J72" s="579"/>
    </row>
    <row r="73" spans="2:10" x14ac:dyDescent="0.2">
      <c r="B73" s="93" t="s">
        <v>138</v>
      </c>
      <c r="C73" s="141">
        <f>C61-C72</f>
        <v>21</v>
      </c>
      <c r="D73" s="141">
        <f>D61-D72</f>
        <v>112</v>
      </c>
      <c r="E73" s="193" t="s">
        <v>49</v>
      </c>
      <c r="G73" s="583">
        <f>'Summary Budget Hearing Notice'!E52</f>
        <v>54.954999999999991</v>
      </c>
      <c r="H73" s="376" t="str">
        <f>CONCATENATE(E1-1," Total Mill Rate")</f>
        <v>2023 Total Mill Rate</v>
      </c>
      <c r="I73" s="578"/>
      <c r="J73" s="579"/>
    </row>
    <row r="74" spans="2:10" x14ac:dyDescent="0.2">
      <c r="B74" s="108" t="str">
        <f>CONCATENATE("",E1-2,"/",E1-1,"/",E1," Budget Authority Amount:")</f>
        <v>2022/2023/2024 Budget Authority Amount:</v>
      </c>
      <c r="C74" s="446">
        <f>inputOth!B69</f>
        <v>8000</v>
      </c>
      <c r="D74" s="446">
        <f>inputPrYr!D23</f>
        <v>8600</v>
      </c>
      <c r="E74" s="141">
        <f>E72</f>
        <v>8600</v>
      </c>
      <c r="G74" s="396"/>
      <c r="H74" s="383"/>
      <c r="I74" s="383"/>
      <c r="J74" s="403"/>
    </row>
    <row r="75" spans="2:10" x14ac:dyDescent="0.2">
      <c r="B75" s="80"/>
      <c r="C75" s="695" t="s">
        <v>320</v>
      </c>
      <c r="D75" s="696"/>
      <c r="E75" s="39"/>
      <c r="G75" s="708" t="s">
        <v>724</v>
      </c>
      <c r="H75" s="709"/>
      <c r="I75" s="709"/>
      <c r="J75" s="712" t="e">
        <f>IF(G72&gt;G71, "Yes", "No")</f>
        <v>#REF!</v>
      </c>
    </row>
    <row r="76" spans="2:10" x14ac:dyDescent="0.2">
      <c r="B76" s="329" t="str">
        <f>CONCATENATE(C100,"     ",D100)</f>
        <v xml:space="preserve">     </v>
      </c>
      <c r="C76" s="697" t="s">
        <v>321</v>
      </c>
      <c r="D76" s="698"/>
      <c r="E76" s="141">
        <f>E72+E75</f>
        <v>8600</v>
      </c>
      <c r="G76" s="710"/>
      <c r="H76" s="711"/>
      <c r="I76" s="711"/>
      <c r="J76" s="713"/>
    </row>
    <row r="77" spans="2:10" x14ac:dyDescent="0.2">
      <c r="B77" s="329" t="str">
        <f>CONCATENATE(C101,"     ",D101)</f>
        <v xml:space="preserve">     </v>
      </c>
      <c r="C77" s="186"/>
      <c r="D77" s="107" t="s">
        <v>76</v>
      </c>
      <c r="E77" s="141">
        <f>IF(E76-E61&gt;0,E76-E61,0)</f>
        <v>7786</v>
      </c>
      <c r="G77" s="714" t="e">
        <f>IF(J75="Yes", "Follow procedure prescribed by KSA 79-2988 to exceed the Revenue Neutral Rate.", " ")</f>
        <v>#REF!</v>
      </c>
      <c r="H77" s="714"/>
      <c r="I77" s="714"/>
      <c r="J77" s="714"/>
    </row>
    <row r="78" spans="2:10" x14ac:dyDescent="0.2">
      <c r="B78" s="107"/>
      <c r="C78" s="255" t="s">
        <v>319</v>
      </c>
      <c r="D78" s="450">
        <f>inputOth!$E$52</f>
        <v>1.4E-2</v>
      </c>
      <c r="E78" s="141">
        <f>ROUND(IF(D78&gt;0,(E77*D78),0),0)</f>
        <v>109</v>
      </c>
      <c r="G78" s="715"/>
      <c r="H78" s="715"/>
      <c r="I78" s="715"/>
      <c r="J78" s="715"/>
    </row>
    <row r="79" spans="2:10" ht="16.5" thickBot="1" x14ac:dyDescent="0.25">
      <c r="B79" s="28"/>
      <c r="C79" s="676" t="str">
        <f>CONCATENATE("Amount of  ",$E$1-1," Ad Valorem Tax")</f>
        <v>Amount of  2023 Ad Valorem Tax</v>
      </c>
      <c r="D79" s="699"/>
      <c r="E79" s="381">
        <f>E77+E78</f>
        <v>7895</v>
      </c>
      <c r="F79" s="185"/>
      <c r="G79" s="715"/>
      <c r="H79" s="715"/>
      <c r="I79" s="715"/>
      <c r="J79" s="715"/>
    </row>
    <row r="80" spans="2:10" ht="16.5" thickTop="1" x14ac:dyDescent="0.2">
      <c r="B80" s="28"/>
      <c r="C80" s="80"/>
      <c r="D80" s="28"/>
      <c r="E80" s="80"/>
      <c r="F80" s="451" t="str">
        <f>IF(E72/0.95-E72&lt;E75,"Exceeds 5%","")</f>
        <v/>
      </c>
    </row>
    <row r="81" spans="2:5" x14ac:dyDescent="0.2">
      <c r="B81" s="537" t="s">
        <v>539</v>
      </c>
      <c r="C81" s="523"/>
      <c r="D81" s="69"/>
      <c r="E81" s="524"/>
    </row>
    <row r="82" spans="2:5" x14ac:dyDescent="0.2">
      <c r="B82" s="396"/>
      <c r="C82" s="80"/>
      <c r="D82" s="28"/>
      <c r="E82" s="525"/>
    </row>
    <row r="83" spans="2:5" x14ac:dyDescent="0.2">
      <c r="B83" s="514"/>
      <c r="C83" s="526"/>
      <c r="D83" s="43"/>
      <c r="E83" s="527"/>
    </row>
    <row r="84" spans="2:5" x14ac:dyDescent="0.2">
      <c r="B84" s="28"/>
      <c r="C84" s="80"/>
      <c r="D84" s="28"/>
      <c r="E84" s="80"/>
    </row>
    <row r="85" spans="2:5" x14ac:dyDescent="0.2">
      <c r="B85" s="272" t="s">
        <v>78</v>
      </c>
      <c r="C85" s="464"/>
      <c r="D85" s="28"/>
      <c r="E85" s="28"/>
    </row>
    <row r="86" spans="2:5" x14ac:dyDescent="0.2">
      <c r="B86" s="24"/>
    </row>
    <row r="98" spans="3:4" hidden="1" x14ac:dyDescent="0.2">
      <c r="C98" s="328" t="str">
        <f>IF(C32&gt;C34,"See Tab A","")</f>
        <v/>
      </c>
      <c r="D98" s="328" t="str">
        <f>IF(D30&gt;D34,"See Tab C","")</f>
        <v/>
      </c>
    </row>
    <row r="99" spans="3:4" hidden="1" x14ac:dyDescent="0.2">
      <c r="C99" s="328" t="str">
        <f>IF(C33&lt;0,"See Tab B","")</f>
        <v/>
      </c>
      <c r="D99" s="328" t="str">
        <f>IF(D33&lt;0,"See Tab D","")</f>
        <v/>
      </c>
    </row>
    <row r="100" spans="3:4" hidden="1" x14ac:dyDescent="0.2">
      <c r="C100" s="328" t="str">
        <f>IF(C70&gt;C74,"See Tab A","")</f>
        <v/>
      </c>
      <c r="D100" s="328" t="str">
        <f>IF(D70&gt;D74,"See Tab C","")</f>
        <v/>
      </c>
    </row>
    <row r="101" spans="3:4" hidden="1" x14ac:dyDescent="0.2">
      <c r="C101" s="328" t="str">
        <f>IF(C73&lt;0,"See Tab B","")</f>
        <v/>
      </c>
      <c r="D101" s="328" t="str">
        <f>IF(D73&lt;0,"See Tab D","")</f>
        <v/>
      </c>
    </row>
  </sheetData>
  <sheetProtection sheet="1" objects="1" scenarios="1"/>
  <mergeCells count="19">
    <mergeCell ref="C35:D35"/>
    <mergeCell ref="C36:D36"/>
    <mergeCell ref="C40:D40"/>
    <mergeCell ref="G8:J8"/>
    <mergeCell ref="G15:J15"/>
    <mergeCell ref="G25:J26"/>
    <mergeCell ref="G33:I34"/>
    <mergeCell ref="J33:J34"/>
    <mergeCell ref="G35:J37"/>
    <mergeCell ref="C79:D79"/>
    <mergeCell ref="C39:D39"/>
    <mergeCell ref="C75:D75"/>
    <mergeCell ref="C76:D76"/>
    <mergeCell ref="G50:J50"/>
    <mergeCell ref="G57:J57"/>
    <mergeCell ref="G67:J68"/>
    <mergeCell ref="G75:I76"/>
    <mergeCell ref="J75:J76"/>
    <mergeCell ref="G77:J79"/>
  </mergeCells>
  <phoneticPr fontId="0" type="noConversion"/>
  <conditionalFormatting sqref="C18">
    <cfRule type="cellIs" dxfId="116" priority="27" stopIfTrue="1" operator="greaterThan">
      <formula>$C$20*0.1</formula>
    </cfRule>
  </conditionalFormatting>
  <conditionalFormatting sqref="C30">
    <cfRule type="cellIs" dxfId="115" priority="17" stopIfTrue="1" operator="greaterThan">
      <formula>$C$32*0.1</formula>
    </cfRule>
  </conditionalFormatting>
  <conditionalFormatting sqref="C32">
    <cfRule type="expression" dxfId="114" priority="8">
      <formula>$C$32&gt;$C$34</formula>
    </cfRule>
  </conditionalFormatting>
  <conditionalFormatting sqref="C33">
    <cfRule type="expression" dxfId="113" priority="7">
      <formula>$C$33&lt;0</formula>
    </cfRule>
  </conditionalFormatting>
  <conditionalFormatting sqref="C58">
    <cfRule type="cellIs" dxfId="112" priority="29" stopIfTrue="1" operator="greaterThan">
      <formula>$C$60*0.1</formula>
    </cfRule>
  </conditionalFormatting>
  <conditionalFormatting sqref="C70">
    <cfRule type="cellIs" dxfId="111" priority="22" stopIfTrue="1" operator="greaterThan">
      <formula>$C$72*0.1</formula>
    </cfRule>
  </conditionalFormatting>
  <conditionalFormatting sqref="C72">
    <cfRule type="expression" dxfId="110" priority="4">
      <formula>$C$72&gt;$C$74</formula>
    </cfRule>
  </conditionalFormatting>
  <conditionalFormatting sqref="C73">
    <cfRule type="expression" dxfId="109" priority="3">
      <formula>$C$73&lt;0</formula>
    </cfRule>
  </conditionalFormatting>
  <conditionalFormatting sqref="D18">
    <cfRule type="cellIs" dxfId="108" priority="26" stopIfTrue="1" operator="greaterThan">
      <formula>$D$20*0.1</formula>
    </cfRule>
  </conditionalFormatting>
  <conditionalFormatting sqref="D30">
    <cfRule type="cellIs" dxfId="107" priority="18" stopIfTrue="1" operator="greaterThan">
      <formula>$D$32*0.1</formula>
    </cfRule>
  </conditionalFormatting>
  <conditionalFormatting sqref="D32">
    <cfRule type="expression" dxfId="106" priority="6">
      <formula>$D$32&gt;$D$34</formula>
    </cfRule>
  </conditionalFormatting>
  <conditionalFormatting sqref="D33">
    <cfRule type="expression" dxfId="105" priority="5">
      <formula>$D$33&lt;0</formula>
    </cfRule>
  </conditionalFormatting>
  <conditionalFormatting sqref="D58">
    <cfRule type="cellIs" dxfId="104" priority="28" stopIfTrue="1" operator="greaterThan">
      <formula>$D$60*0.1</formula>
    </cfRule>
  </conditionalFormatting>
  <conditionalFormatting sqref="D70">
    <cfRule type="cellIs" dxfId="103" priority="23" stopIfTrue="1" operator="greaterThan">
      <formula>$D$72*0.1</formula>
    </cfRule>
  </conditionalFormatting>
  <conditionalFormatting sqref="D72">
    <cfRule type="expression" dxfId="102" priority="2">
      <formula>$D$72&gt;$D$73</formula>
    </cfRule>
  </conditionalFormatting>
  <conditionalFormatting sqref="D73">
    <cfRule type="expression" dxfId="101" priority="1">
      <formula>$D$73&lt;0</formula>
    </cfRule>
  </conditionalFormatting>
  <conditionalFormatting sqref="E18">
    <cfRule type="cellIs" dxfId="100" priority="30" stopIfTrue="1" operator="greaterThan">
      <formula>$E$20*0.1+E39</formula>
    </cfRule>
  </conditionalFormatting>
  <conditionalFormatting sqref="E30">
    <cfRule type="cellIs" dxfId="99" priority="15" stopIfTrue="1" operator="greaterThan">
      <formula>$E$32*0.1</formula>
    </cfRule>
  </conditionalFormatting>
  <conditionalFormatting sqref="E35">
    <cfRule type="cellIs" dxfId="98" priority="16" stopIfTrue="1" operator="greaterThan">
      <formula>$E$32/0.95-$E$32</formula>
    </cfRule>
  </conditionalFormatting>
  <conditionalFormatting sqref="E58">
    <cfRule type="cellIs" dxfId="97" priority="31" stopIfTrue="1" operator="greaterThan">
      <formula>$E$60*0.1+E79</formula>
    </cfRule>
  </conditionalFormatting>
  <conditionalFormatting sqref="E70">
    <cfRule type="cellIs" dxfId="96" priority="13" stopIfTrue="1" operator="greaterThan">
      <formula>$E$72*0.1</formula>
    </cfRule>
  </conditionalFormatting>
  <conditionalFormatting sqref="E75">
    <cfRule type="cellIs" dxfId="95" priority="14" stopIfTrue="1" operator="greaterThan">
      <formula>$E$72/0.95-$E$72</formula>
    </cfRule>
  </conditionalFormatting>
  <conditionalFormatting sqref="J33">
    <cfRule type="containsText" dxfId="94" priority="10" operator="containsText" text="Yes">
      <formula>NOT(ISERROR(SEARCH("Yes",J33)))</formula>
    </cfRule>
  </conditionalFormatting>
  <conditionalFormatting sqref="J75">
    <cfRule type="containsText" dxfId="93" priority="9" operator="containsText" text="Yes">
      <formula>NOT(ISERROR(SEARCH("Yes",J75)))</formula>
    </cfRule>
  </conditionalFormatting>
  <pageMargins left="0.5" right="0.5" top="1" bottom="0.5" header="0.5" footer="0.5"/>
  <pageSetup scale="55" orientation="portrait" blackAndWhite="1" r:id="rId1"/>
  <headerFooter alignWithMargins="0">
    <oddHeader>&amp;RState of Kansas
City</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101"/>
  <sheetViews>
    <sheetView zoomScaleNormal="100" workbookViewId="0">
      <selection activeCell="E25" sqref="E25"/>
    </sheetView>
  </sheetViews>
  <sheetFormatPr defaultColWidth="8.88671875" defaultRowHeight="15.75" x14ac:dyDescent="0.2"/>
  <cols>
    <col min="1" max="1" width="2.44140625" style="26" customWidth="1"/>
    <col min="2" max="2" width="31.109375" style="26" customWidth="1"/>
    <col min="3" max="4" width="15.77734375" style="26" customWidth="1"/>
    <col min="5" max="5" width="16.33203125" style="26" customWidth="1"/>
    <col min="6" max="6" width="8.88671875" style="26"/>
    <col min="7" max="7" width="10.21875" style="26" customWidth="1"/>
    <col min="8" max="8" width="8.88671875" style="26"/>
    <col min="9" max="9" width="5.5546875" style="26" customWidth="1"/>
    <col min="10" max="10" width="10" style="26" customWidth="1"/>
    <col min="11" max="16384" width="8.88671875" style="26"/>
  </cols>
  <sheetData>
    <row r="1" spans="2:10" x14ac:dyDescent="0.2">
      <c r="B1" s="47" t="str">
        <f>(inputPrYr!D3)</f>
        <v>Wellsville</v>
      </c>
      <c r="C1" s="28"/>
      <c r="D1" s="28"/>
      <c r="E1" s="80">
        <f>inputPrYr!C6</f>
        <v>2024</v>
      </c>
    </row>
    <row r="2" spans="2:10" x14ac:dyDescent="0.2">
      <c r="B2" s="28"/>
      <c r="C2" s="28"/>
      <c r="D2" s="28"/>
      <c r="E2" s="107"/>
    </row>
    <row r="3" spans="2:10" x14ac:dyDescent="0.2">
      <c r="B3" s="161" t="s">
        <v>123</v>
      </c>
      <c r="C3" s="115"/>
      <c r="D3" s="115"/>
      <c r="E3" s="133"/>
    </row>
    <row r="4" spans="2:10" x14ac:dyDescent="0.2">
      <c r="B4" s="29" t="s">
        <v>59</v>
      </c>
      <c r="C4" s="442" t="s">
        <v>479</v>
      </c>
      <c r="D4" s="443" t="s">
        <v>480</v>
      </c>
      <c r="E4" s="87" t="s">
        <v>481</v>
      </c>
    </row>
    <row r="5" spans="2:10" x14ac:dyDescent="0.2">
      <c r="B5" s="332" t="str">
        <f>inputPrYr!B24</f>
        <v>Special Tort Claim</v>
      </c>
      <c r="C5" s="138" t="str">
        <f>CONCATENATE("Actual for ",E1-2,"")</f>
        <v>Actual for 2022</v>
      </c>
      <c r="D5" s="138" t="str">
        <f>CONCATENATE("Estimate for ",E1-1,"")</f>
        <v>Estimate for 2023</v>
      </c>
      <c r="E5" s="122" t="str">
        <f>CONCATENATE("Year for ",E1,"")</f>
        <v>Year for 2024</v>
      </c>
    </row>
    <row r="6" spans="2:10" x14ac:dyDescent="0.2">
      <c r="B6" s="163" t="s">
        <v>137</v>
      </c>
      <c r="C6" s="168">
        <v>8566</v>
      </c>
      <c r="D6" s="166">
        <f>C34</f>
        <v>6946</v>
      </c>
      <c r="E6" s="141">
        <f>D34</f>
        <v>3445</v>
      </c>
    </row>
    <row r="7" spans="2:10" x14ac:dyDescent="0.2">
      <c r="B7" s="167" t="s">
        <v>139</v>
      </c>
      <c r="C7" s="166"/>
      <c r="D7" s="166"/>
      <c r="E7" s="141"/>
    </row>
    <row r="8" spans="2:10" x14ac:dyDescent="0.2">
      <c r="B8" s="93" t="s">
        <v>60</v>
      </c>
      <c r="C8" s="168">
        <v>25475</v>
      </c>
      <c r="D8" s="166">
        <f>IF(inputPrYr!H21&gt;0,inputPrYr!G28,inputPrYr!E24)</f>
        <v>33814</v>
      </c>
      <c r="E8" s="193" t="s">
        <v>49</v>
      </c>
    </row>
    <row r="9" spans="2:10" x14ac:dyDescent="0.2">
      <c r="B9" s="93" t="s">
        <v>61</v>
      </c>
      <c r="C9" s="168">
        <v>928</v>
      </c>
      <c r="D9" s="168"/>
      <c r="E9" s="39"/>
      <c r="G9" s="718" t="str">
        <f>CONCATENATE("Desired Carryover Into ",E1+1,"")</f>
        <v>Desired Carryover Into 2025</v>
      </c>
      <c r="H9" s="700"/>
      <c r="I9" s="700"/>
      <c r="J9" s="701"/>
    </row>
    <row r="10" spans="2:10" x14ac:dyDescent="0.2">
      <c r="B10" s="93" t="s">
        <v>62</v>
      </c>
      <c r="C10" s="168">
        <v>3307</v>
      </c>
      <c r="D10" s="168">
        <v>2522</v>
      </c>
      <c r="E10" s="141">
        <f>Mvalloc!D12</f>
        <v>2839</v>
      </c>
      <c r="G10" s="382"/>
      <c r="H10" s="383"/>
      <c r="I10" s="384"/>
      <c r="J10" s="385"/>
    </row>
    <row r="11" spans="2:10" x14ac:dyDescent="0.2">
      <c r="B11" s="93" t="s">
        <v>63</v>
      </c>
      <c r="C11" s="168">
        <v>75</v>
      </c>
      <c r="D11" s="168">
        <v>53</v>
      </c>
      <c r="E11" s="141">
        <f>Mvalloc!E12</f>
        <v>62</v>
      </c>
      <c r="G11" s="386" t="s">
        <v>349</v>
      </c>
      <c r="H11" s="384"/>
      <c r="I11" s="384"/>
      <c r="J11" s="387">
        <v>0</v>
      </c>
    </row>
    <row r="12" spans="2:10" x14ac:dyDescent="0.2">
      <c r="B12" s="102" t="s">
        <v>130</v>
      </c>
      <c r="C12" s="168"/>
      <c r="D12" s="168">
        <v>6</v>
      </c>
      <c r="E12" s="141">
        <f>Mvalloc!F12</f>
        <v>23</v>
      </c>
      <c r="G12" s="382" t="s">
        <v>350</v>
      </c>
      <c r="H12" s="383"/>
      <c r="I12" s="383"/>
      <c r="J12" s="388" t="str">
        <f>IF(J11=0,"",ROUND((J11+E40-G24)/inputOth!E7*1000,3)-G29)</f>
        <v/>
      </c>
    </row>
    <row r="13" spans="2:10" x14ac:dyDescent="0.2">
      <c r="B13" s="508" t="s">
        <v>528</v>
      </c>
      <c r="C13" s="168">
        <v>90</v>
      </c>
      <c r="D13" s="168">
        <v>91</v>
      </c>
      <c r="E13" s="141">
        <f>Mvalloc!G12</f>
        <v>82</v>
      </c>
      <c r="G13" s="389" t="str">
        <f>CONCATENATE("",E1," Tot Exp/Non-Appr Must Be:")</f>
        <v>2024 Tot Exp/Non-Appr Must Be:</v>
      </c>
      <c r="H13" s="390"/>
      <c r="I13" s="391"/>
      <c r="J13" s="392">
        <f>IF(J11&gt;0,IF(E37&lt;E22,IF(J11=G24,E37,((J11-G24)*(1-D39))+E22),E37+(J11-G24)),0)</f>
        <v>0</v>
      </c>
    </row>
    <row r="14" spans="2:10" x14ac:dyDescent="0.2">
      <c r="B14" s="508" t="s">
        <v>529</v>
      </c>
      <c r="C14" s="168"/>
      <c r="D14" s="168">
        <v>13</v>
      </c>
      <c r="E14" s="141">
        <f>Mvalloc!H12</f>
        <v>14</v>
      </c>
      <c r="G14" s="393" t="s">
        <v>423</v>
      </c>
      <c r="H14" s="394"/>
      <c r="I14" s="394"/>
      <c r="J14" s="395">
        <f>IF(J11&gt;0,J13-E37,0)</f>
        <v>0</v>
      </c>
    </row>
    <row r="15" spans="2:10" x14ac:dyDescent="0.25">
      <c r="B15" s="183" t="s">
        <v>1039</v>
      </c>
      <c r="C15" s="168">
        <v>2425</v>
      </c>
      <c r="D15" s="168"/>
      <c r="E15" s="39"/>
      <c r="J15" s="2"/>
    </row>
    <row r="16" spans="2:10" x14ac:dyDescent="0.2">
      <c r="B16" s="183"/>
      <c r="C16" s="168"/>
      <c r="D16" s="168"/>
      <c r="E16" s="39"/>
      <c r="G16" s="718" t="str">
        <f>CONCATENATE("Projected Carryover Into ",E1+1,"")</f>
        <v>Projected Carryover Into 2025</v>
      </c>
      <c r="H16" s="719"/>
      <c r="I16" s="719"/>
      <c r="J16" s="720"/>
    </row>
    <row r="17" spans="2:11" x14ac:dyDescent="0.25">
      <c r="B17" s="172" t="s">
        <v>67</v>
      </c>
      <c r="C17" s="168"/>
      <c r="D17" s="168"/>
      <c r="E17" s="39"/>
      <c r="G17" s="382"/>
      <c r="H17" s="384"/>
      <c r="I17" s="384"/>
      <c r="J17" s="397"/>
    </row>
    <row r="18" spans="2:11" x14ac:dyDescent="0.25">
      <c r="B18" s="184" t="s">
        <v>8</v>
      </c>
      <c r="C18" s="168"/>
      <c r="D18" s="168"/>
      <c r="E18" s="141">
        <f>'NR Rebate'!E11*-1</f>
        <v>0</v>
      </c>
      <c r="G18" s="398">
        <f>D34</f>
        <v>3445</v>
      </c>
      <c r="H18" s="376" t="str">
        <f>CONCATENATE("",E1-1," Ending Cash Balance (est.)")</f>
        <v>2023 Ending Cash Balance (est.)</v>
      </c>
      <c r="I18" s="399"/>
      <c r="J18" s="397"/>
    </row>
    <row r="19" spans="2:11" x14ac:dyDescent="0.25">
      <c r="B19" s="102" t="s">
        <v>9</v>
      </c>
      <c r="C19" s="168"/>
      <c r="D19" s="168"/>
      <c r="E19" s="39"/>
      <c r="G19" s="398">
        <f>E21</f>
        <v>3020</v>
      </c>
      <c r="H19" s="384" t="str">
        <f>CONCATENATE("",E1," Non-AV Receipts (est.)")</f>
        <v>2024 Non-AV Receipts (est.)</v>
      </c>
      <c r="I19" s="399"/>
      <c r="J19" s="397"/>
    </row>
    <row r="20" spans="2:11" x14ac:dyDescent="0.2">
      <c r="B20" s="163" t="s">
        <v>352</v>
      </c>
      <c r="C20" s="173" t="str">
        <f>IF(C21*0.1&lt;C19,"Exceed 10% Rule","")</f>
        <v/>
      </c>
      <c r="D20" s="173" t="str">
        <f>IF(D21*0.1&lt;D19,"Exceed 10% Rule","")</f>
        <v/>
      </c>
      <c r="E20" s="204" t="str">
        <f>IF(E21*0.1+E40&lt;E19,"Exceed 10% Rule","")</f>
        <v/>
      </c>
      <c r="G20" s="400">
        <f>IF(E39&gt;0,E38,E40)</f>
        <v>35535</v>
      </c>
      <c r="H20" s="384" t="str">
        <f>CONCATENATE("",E1," Ad Valorem Tax (est.)")</f>
        <v>2024 Ad Valorem Tax (est.)</v>
      </c>
      <c r="I20" s="399"/>
      <c r="J20" s="378"/>
      <c r="K20" s="377" t="str">
        <f>IF(G20=E40,"","Note: Does not include Delinquent Taxes")</f>
        <v>Note: Does not include Delinquent Taxes</v>
      </c>
    </row>
    <row r="21" spans="2:11" x14ac:dyDescent="0.25">
      <c r="B21" s="175" t="s">
        <v>68</v>
      </c>
      <c r="C21" s="591">
        <f>SUM(C8:C19)</f>
        <v>32300</v>
      </c>
      <c r="D21" s="591">
        <f>SUM(D8:D19)</f>
        <v>36499</v>
      </c>
      <c r="E21" s="591">
        <f>SUM(E8:E19)</f>
        <v>3020</v>
      </c>
      <c r="G21" s="398">
        <f>SUM(G18:G20)</f>
        <v>42000</v>
      </c>
      <c r="H21" s="384" t="str">
        <f>CONCATENATE("Total ",E1," Resources Available")</f>
        <v>Total 2024 Resources Available</v>
      </c>
      <c r="I21" s="399"/>
      <c r="J21" s="397"/>
    </row>
    <row r="22" spans="2:11" x14ac:dyDescent="0.25">
      <c r="B22" s="175" t="s">
        <v>69</v>
      </c>
      <c r="C22" s="591">
        <f>C6+C21</f>
        <v>40866</v>
      </c>
      <c r="D22" s="591">
        <f>D6+D21</f>
        <v>43445</v>
      </c>
      <c r="E22" s="591">
        <f>E6+E21</f>
        <v>6465</v>
      </c>
      <c r="G22" s="434"/>
      <c r="H22" s="384"/>
      <c r="I22" s="384"/>
      <c r="J22" s="397"/>
    </row>
    <row r="23" spans="2:11" x14ac:dyDescent="0.25">
      <c r="B23" s="93" t="s">
        <v>71</v>
      </c>
      <c r="C23" s="184"/>
      <c r="D23" s="184"/>
      <c r="E23" s="38"/>
      <c r="G23" s="400">
        <f>ROUND(C33*0.05+C33,0)</f>
        <v>35616</v>
      </c>
      <c r="H23" s="384" t="str">
        <f>CONCATENATE("Less ",E1-2," Expenditures + 5%")</f>
        <v>Less 2022 Expenditures + 5%</v>
      </c>
      <c r="I23" s="399"/>
      <c r="J23" s="397"/>
    </row>
    <row r="24" spans="2:11" x14ac:dyDescent="0.25">
      <c r="B24" s="197" t="s">
        <v>1038</v>
      </c>
      <c r="C24" s="168">
        <v>33920</v>
      </c>
      <c r="D24" s="168">
        <v>40000</v>
      </c>
      <c r="E24" s="61">
        <v>42000</v>
      </c>
      <c r="F24" s="196"/>
      <c r="G24" s="435">
        <f>G21-G23</f>
        <v>6384</v>
      </c>
      <c r="H24" s="436" t="str">
        <f>CONCATENATE("Projected ",E1+1," carryover (est.)")</f>
        <v>Projected 2025 carryover (est.)</v>
      </c>
      <c r="I24" s="437"/>
      <c r="J24" s="410"/>
    </row>
    <row r="25" spans="2:11" x14ac:dyDescent="0.25">
      <c r="B25" s="197"/>
      <c r="C25" s="168"/>
      <c r="D25" s="168"/>
      <c r="E25" s="61"/>
      <c r="G25" s="2"/>
      <c r="H25" s="2"/>
      <c r="I25" s="2"/>
      <c r="J25" s="2"/>
    </row>
    <row r="26" spans="2:11" x14ac:dyDescent="0.2">
      <c r="B26" s="197"/>
      <c r="C26" s="168"/>
      <c r="D26" s="168"/>
      <c r="E26" s="61"/>
      <c r="G26" s="702" t="s">
        <v>722</v>
      </c>
      <c r="H26" s="703"/>
      <c r="I26" s="703"/>
      <c r="J26" s="704"/>
    </row>
    <row r="27" spans="2:11" x14ac:dyDescent="0.2">
      <c r="B27" s="183"/>
      <c r="C27" s="168"/>
      <c r="D27" s="168"/>
      <c r="E27" s="39"/>
      <c r="G27" s="705"/>
      <c r="H27" s="706"/>
      <c r="I27" s="706"/>
      <c r="J27" s="707"/>
    </row>
    <row r="28" spans="2:11" x14ac:dyDescent="0.2">
      <c r="B28" s="183"/>
      <c r="C28" s="168"/>
      <c r="D28" s="168"/>
      <c r="E28" s="39"/>
      <c r="G28" s="577">
        <f>'Summary Budget Hearing Notice'!H20</f>
        <v>1.728</v>
      </c>
      <c r="H28" s="376" t="str">
        <f>CONCATENATE("",E1," Estimated Fund Mill Rate")</f>
        <v>2024 Estimated Fund Mill Rate</v>
      </c>
      <c r="I28" s="578"/>
      <c r="J28" s="579"/>
    </row>
    <row r="29" spans="2:11" x14ac:dyDescent="0.2">
      <c r="B29" s="183"/>
      <c r="C29" s="168"/>
      <c r="D29" s="168"/>
      <c r="E29" s="39"/>
      <c r="G29" s="580">
        <f>'Summary Budget Hearing Notice'!E19</f>
        <v>0.40699999999999997</v>
      </c>
      <c r="H29" s="376" t="str">
        <f>CONCATENATE("",E1-1," Fund Mill Rate")</f>
        <v>2023 Fund Mill Rate</v>
      </c>
      <c r="I29" s="578"/>
      <c r="J29" s="579"/>
    </row>
    <row r="30" spans="2:11" x14ac:dyDescent="0.2">
      <c r="B30" s="184" t="str">
        <f>CONCATENATE("Cash Forward (",E1," column)")</f>
        <v>Cash Forward (2024 column)</v>
      </c>
      <c r="C30" s="168"/>
      <c r="D30" s="168"/>
      <c r="E30" s="39"/>
      <c r="G30" s="581">
        <f>inputOth!D20</f>
        <v>50.973999999999997</v>
      </c>
      <c r="H30" s="582" t="s">
        <v>723</v>
      </c>
      <c r="I30" s="578"/>
      <c r="J30" s="579"/>
    </row>
    <row r="31" spans="2:11" x14ac:dyDescent="0.2">
      <c r="B31" s="184" t="s">
        <v>9</v>
      </c>
      <c r="C31" s="168"/>
      <c r="D31" s="168"/>
      <c r="E31" s="39"/>
      <c r="G31" s="577" t="e">
        <f>'Summary Budget Hearing Notice'!H52</f>
        <v>#REF!</v>
      </c>
      <c r="H31" s="376" t="str">
        <f>CONCATENATE(E1," Estimated Total Mill Rate")</f>
        <v>2024 Estimated Total Mill Rate</v>
      </c>
      <c r="I31" s="578"/>
      <c r="J31" s="579"/>
    </row>
    <row r="32" spans="2:11" x14ac:dyDescent="0.2">
      <c r="B32" s="184" t="s">
        <v>353</v>
      </c>
      <c r="C32" s="173" t="str">
        <f>IF(C33*0.1&lt;C31,"Exceed 10% Rule","")</f>
        <v/>
      </c>
      <c r="D32" s="173" t="str">
        <f>IF(D33*0.1&lt;D31,"Exceed 10% Rule","")</f>
        <v/>
      </c>
      <c r="E32" s="204" t="str">
        <f>IF(E33*0.1&lt;E31,"Exceed 10% Rule","")</f>
        <v/>
      </c>
      <c r="G32" s="583">
        <f>'Summary Budget Hearing Notice'!E52</f>
        <v>54.954999999999991</v>
      </c>
      <c r="H32" s="376" t="str">
        <f>CONCATENATE(E1-1," Total Mill Rate")</f>
        <v>2023 Total Mill Rate</v>
      </c>
      <c r="I32" s="578"/>
      <c r="J32" s="579"/>
    </row>
    <row r="33" spans="2:10" x14ac:dyDescent="0.2">
      <c r="B33" s="175" t="s">
        <v>75</v>
      </c>
      <c r="C33" s="591">
        <f>SUM(C24:C31)</f>
        <v>33920</v>
      </c>
      <c r="D33" s="591">
        <f>SUM(D24:D31)</f>
        <v>40000</v>
      </c>
      <c r="E33" s="591">
        <f>SUM(E24:E31)</f>
        <v>42000</v>
      </c>
      <c r="G33" s="396"/>
      <c r="H33" s="383"/>
      <c r="I33" s="383"/>
      <c r="J33" s="403"/>
    </row>
    <row r="34" spans="2:10" x14ac:dyDescent="0.2">
      <c r="B34" s="93" t="s">
        <v>138</v>
      </c>
      <c r="C34" s="141">
        <f>C22-C33</f>
        <v>6946</v>
      </c>
      <c r="D34" s="141">
        <f>D22-D33</f>
        <v>3445</v>
      </c>
      <c r="E34" s="193" t="s">
        <v>49</v>
      </c>
      <c r="G34" s="708" t="s">
        <v>724</v>
      </c>
      <c r="H34" s="709"/>
      <c r="I34" s="709"/>
      <c r="J34" s="712" t="e">
        <f>IF(G31&gt;G30, "Yes", "No")</f>
        <v>#REF!</v>
      </c>
    </row>
    <row r="35" spans="2:10" x14ac:dyDescent="0.2">
      <c r="B35" s="108" t="str">
        <f>CONCATENATE("",E1-2,"/",E1-1,"/",E1," Budget Authority Amount:")</f>
        <v>2022/2023/2024 Budget Authority Amount:</v>
      </c>
      <c r="C35" s="446">
        <f>inputOth!B70</f>
        <v>33920</v>
      </c>
      <c r="D35" s="446">
        <f>inputPrYr!D24</f>
        <v>40000</v>
      </c>
      <c r="E35" s="141">
        <f>E33</f>
        <v>42000</v>
      </c>
      <c r="G35" s="710"/>
      <c r="H35" s="711"/>
      <c r="I35" s="711"/>
      <c r="J35" s="713"/>
    </row>
    <row r="36" spans="2:10" x14ac:dyDescent="0.2">
      <c r="B36" s="80"/>
      <c r="C36" s="695" t="s">
        <v>320</v>
      </c>
      <c r="D36" s="696"/>
      <c r="E36" s="39"/>
      <c r="G36" s="714" t="e">
        <f>IF(J34="Yes", "Follow procedure prescribed by KSA 79-2988 to exceed the Revenue Neutral Rate.", " ")</f>
        <v>#REF!</v>
      </c>
      <c r="H36" s="714"/>
      <c r="I36" s="714"/>
      <c r="J36" s="714"/>
    </row>
    <row r="37" spans="2:10" x14ac:dyDescent="0.2">
      <c r="B37" s="329" t="str">
        <f>CONCATENATE(C97,"     ",D97)</f>
        <v xml:space="preserve">     </v>
      </c>
      <c r="C37" s="697" t="s">
        <v>321</v>
      </c>
      <c r="D37" s="698"/>
      <c r="E37" s="141">
        <f>E33+E36</f>
        <v>42000</v>
      </c>
      <c r="F37" s="185"/>
      <c r="G37" s="715"/>
      <c r="H37" s="715"/>
      <c r="I37" s="715"/>
      <c r="J37" s="715"/>
    </row>
    <row r="38" spans="2:10" x14ac:dyDescent="0.2">
      <c r="B38" s="329" t="str">
        <f>CONCATENATE(C98,"     ",D98)</f>
        <v xml:space="preserve">     </v>
      </c>
      <c r="C38" s="186"/>
      <c r="D38" s="107" t="s">
        <v>76</v>
      </c>
      <c r="E38" s="141">
        <f>IF(E37-E22&gt;0,E37-E22,0)</f>
        <v>35535</v>
      </c>
      <c r="F38" s="451" t="str">
        <f>IF(E33/0.95-E33&lt;E36,"Exceeds 5%","")</f>
        <v/>
      </c>
      <c r="G38" s="715"/>
      <c r="H38" s="715"/>
      <c r="I38" s="715"/>
      <c r="J38" s="715"/>
    </row>
    <row r="39" spans="2:10" x14ac:dyDescent="0.2">
      <c r="B39" s="107"/>
      <c r="C39" s="255" t="s">
        <v>319</v>
      </c>
      <c r="D39" s="450">
        <f>inputOth!$E$52</f>
        <v>1.4E-2</v>
      </c>
      <c r="E39" s="141">
        <f>ROUND(IF(D39&gt;0,(E38*D39),0),0)</f>
        <v>497</v>
      </c>
    </row>
    <row r="40" spans="2:10" ht="16.5" thickBot="1" x14ac:dyDescent="0.25">
      <c r="B40" s="107"/>
      <c r="C40" s="676" t="str">
        <f>CONCATENATE("Amount of  ",$E$1-1," Ad Valorem Tax")</f>
        <v>Amount of  2023 Ad Valorem Tax</v>
      </c>
      <c r="D40" s="699"/>
      <c r="E40" s="381">
        <f>E38+E39</f>
        <v>36032</v>
      </c>
    </row>
    <row r="41" spans="2:10" ht="16.5" thickTop="1" x14ac:dyDescent="0.2">
      <c r="B41" s="28"/>
      <c r="C41" s="676"/>
      <c r="D41" s="699"/>
      <c r="E41" s="28"/>
    </row>
    <row r="42" spans="2:10" x14ac:dyDescent="0.2">
      <c r="B42" s="29"/>
      <c r="C42" s="195"/>
      <c r="D42" s="195"/>
      <c r="E42" s="195"/>
    </row>
    <row r="43" spans="2:10" x14ac:dyDescent="0.2">
      <c r="B43" s="29" t="s">
        <v>59</v>
      </c>
      <c r="C43" s="442" t="s">
        <v>479</v>
      </c>
      <c r="D43" s="443" t="s">
        <v>480</v>
      </c>
      <c r="E43" s="87" t="s">
        <v>481</v>
      </c>
    </row>
    <row r="44" spans="2:10" x14ac:dyDescent="0.2">
      <c r="B44" s="332">
        <f>inputPrYr!B25</f>
        <v>0</v>
      </c>
      <c r="C44" s="138" t="str">
        <f>CONCATENATE("Actual for ",E1-2,"")</f>
        <v>Actual for 2022</v>
      </c>
      <c r="D44" s="138" t="str">
        <f>CONCATENATE("Estimate for ",E1-1,"")</f>
        <v>Estimate for 2023</v>
      </c>
      <c r="E44" s="122" t="str">
        <f>CONCATENATE("Year for ",E1,"")</f>
        <v>Year for 2024</v>
      </c>
    </row>
    <row r="45" spans="2:10" x14ac:dyDescent="0.2">
      <c r="B45" s="163" t="s">
        <v>137</v>
      </c>
      <c r="C45" s="168"/>
      <c r="D45" s="166">
        <f>C73</f>
        <v>0</v>
      </c>
      <c r="E45" s="141">
        <f>D73</f>
        <v>0</v>
      </c>
    </row>
    <row r="46" spans="2:10" x14ac:dyDescent="0.2">
      <c r="B46" s="167" t="s">
        <v>139</v>
      </c>
      <c r="C46" s="102"/>
      <c r="D46" s="102"/>
      <c r="E46" s="52"/>
    </row>
    <row r="47" spans="2:10" x14ac:dyDescent="0.2">
      <c r="B47" s="93" t="s">
        <v>60</v>
      </c>
      <c r="C47" s="168"/>
      <c r="D47" s="166">
        <f>IF(inputPrYr!H21&gt;0,inputPrYr!G29,inputPrYr!E25)</f>
        <v>0</v>
      </c>
      <c r="E47" s="193" t="s">
        <v>49</v>
      </c>
    </row>
    <row r="48" spans="2:10" x14ac:dyDescent="0.2">
      <c r="B48" s="93" t="s">
        <v>61</v>
      </c>
      <c r="C48" s="168"/>
      <c r="D48" s="168"/>
      <c r="E48" s="39"/>
    </row>
    <row r="49" spans="2:11" x14ac:dyDescent="0.2">
      <c r="B49" s="93" t="s">
        <v>62</v>
      </c>
      <c r="C49" s="168"/>
      <c r="D49" s="168"/>
      <c r="E49" s="141" t="str">
        <f>Mvalloc!D13</f>
        <v xml:space="preserve">  </v>
      </c>
    </row>
    <row r="50" spans="2:11" x14ac:dyDescent="0.2">
      <c r="B50" s="93" t="s">
        <v>63</v>
      </c>
      <c r="C50" s="168"/>
      <c r="D50" s="168"/>
      <c r="E50" s="141" t="str">
        <f>Mvalloc!E13</f>
        <v xml:space="preserve"> </v>
      </c>
    </row>
    <row r="51" spans="2:11" x14ac:dyDescent="0.2">
      <c r="B51" s="102" t="s">
        <v>130</v>
      </c>
      <c r="C51" s="168"/>
      <c r="D51" s="168"/>
      <c r="E51" s="141" t="str">
        <f>Mvalloc!F13</f>
        <v xml:space="preserve"> </v>
      </c>
      <c r="G51" s="718" t="str">
        <f>CONCATENATE("Desired Carryover Into ",E1+1,"")</f>
        <v>Desired Carryover Into 2025</v>
      </c>
      <c r="H51" s="700"/>
      <c r="I51" s="700"/>
      <c r="J51" s="701"/>
    </row>
    <row r="52" spans="2:11" x14ac:dyDescent="0.2">
      <c r="B52" s="508" t="s">
        <v>528</v>
      </c>
      <c r="C52" s="168"/>
      <c r="D52" s="168"/>
      <c r="E52" s="141" t="str">
        <f>Mvalloc!G13</f>
        <v xml:space="preserve"> </v>
      </c>
      <c r="G52" s="382"/>
      <c r="H52" s="383"/>
      <c r="I52" s="384"/>
      <c r="J52" s="385"/>
    </row>
    <row r="53" spans="2:11" x14ac:dyDescent="0.2">
      <c r="B53" s="508" t="s">
        <v>529</v>
      </c>
      <c r="C53" s="168"/>
      <c r="D53" s="168"/>
      <c r="E53" s="141" t="str">
        <f>Mvalloc!H13</f>
        <v xml:space="preserve"> </v>
      </c>
      <c r="G53" s="386" t="s">
        <v>349</v>
      </c>
      <c r="H53" s="384"/>
      <c r="I53" s="384"/>
      <c r="J53" s="387">
        <v>0</v>
      </c>
    </row>
    <row r="54" spans="2:11" x14ac:dyDescent="0.2">
      <c r="B54" s="39"/>
      <c r="C54" s="168"/>
      <c r="D54" s="168"/>
      <c r="E54" s="39"/>
      <c r="G54" s="382" t="s">
        <v>350</v>
      </c>
      <c r="H54" s="383"/>
      <c r="I54" s="383"/>
      <c r="J54" s="388" t="str">
        <f>IF(J53=0,"",ROUND((J53+E79-G66)/inputOth!E7*1000,3)-G71)</f>
        <v/>
      </c>
    </row>
    <row r="55" spans="2:11" x14ac:dyDescent="0.2">
      <c r="B55" s="183"/>
      <c r="C55" s="168"/>
      <c r="D55" s="168"/>
      <c r="E55" s="39"/>
      <c r="G55" s="389" t="str">
        <f>CONCATENATE("",E1," Tot Exp/Non-Appr Must Be:")</f>
        <v>2024 Tot Exp/Non-Appr Must Be:</v>
      </c>
      <c r="H55" s="390"/>
      <c r="I55" s="391"/>
      <c r="J55" s="392">
        <f>IF(J53&gt;0,IF(E76&lt;E61,IF(J53=G66,E76,((J53-G66)*(1-D78))+E61),E76+(J53-G66)),0)</f>
        <v>0</v>
      </c>
    </row>
    <row r="56" spans="2:11" x14ac:dyDescent="0.2">
      <c r="B56" s="172" t="s">
        <v>67</v>
      </c>
      <c r="C56" s="168"/>
      <c r="D56" s="168"/>
      <c r="E56" s="39"/>
      <c r="G56" s="393" t="s">
        <v>423</v>
      </c>
      <c r="H56" s="394"/>
      <c r="I56" s="394"/>
      <c r="J56" s="395">
        <f>IF(J53&gt;0,J55-E76,0)</f>
        <v>0</v>
      </c>
    </row>
    <row r="57" spans="2:11" x14ac:dyDescent="0.25">
      <c r="B57" s="184" t="s">
        <v>8</v>
      </c>
      <c r="C57" s="168"/>
      <c r="D57" s="168"/>
      <c r="E57" s="141">
        <f>'NR Rebate'!E12*-1</f>
        <v>0</v>
      </c>
      <c r="J57" s="2"/>
    </row>
    <row r="58" spans="2:11" x14ac:dyDescent="0.2">
      <c r="B58" s="102" t="s">
        <v>9</v>
      </c>
      <c r="C58" s="168"/>
      <c r="D58" s="168"/>
      <c r="E58" s="39"/>
      <c r="G58" s="718" t="str">
        <f>CONCATENATE("Projected Carryover Into ",E1+1,"")</f>
        <v>Projected Carryover Into 2025</v>
      </c>
      <c r="H58" s="723"/>
      <c r="I58" s="723"/>
      <c r="J58" s="720"/>
    </row>
    <row r="59" spans="2:11" x14ac:dyDescent="0.2">
      <c r="B59" s="163" t="s">
        <v>352</v>
      </c>
      <c r="C59" s="173" t="str">
        <f>IF(C60*0.1&lt;C58,"Exceed 10% Rule","")</f>
        <v/>
      </c>
      <c r="D59" s="173" t="str">
        <f>IF(D60*0.1&lt;D58,"Exceed 10% Rule","")</f>
        <v/>
      </c>
      <c r="E59" s="204" t="str">
        <f>IF(E60*0.1+E79&lt;E58,"Exceed 10% Rule","")</f>
        <v/>
      </c>
      <c r="G59" s="396"/>
      <c r="H59" s="383"/>
      <c r="I59" s="383"/>
      <c r="J59" s="403"/>
    </row>
    <row r="60" spans="2:11" x14ac:dyDescent="0.2">
      <c r="B60" s="175" t="s">
        <v>68</v>
      </c>
      <c r="C60" s="591">
        <f>SUM(C47:C58)</f>
        <v>0</v>
      </c>
      <c r="D60" s="591">
        <f>SUM(D47:D58)</f>
        <v>0</v>
      </c>
      <c r="E60" s="591">
        <f>SUM(E48:E58)</f>
        <v>0</v>
      </c>
      <c r="G60" s="398">
        <f>D73</f>
        <v>0</v>
      </c>
      <c r="H60" s="376" t="str">
        <f>CONCATENATE("",E1-1," Ending Cash Balance (est.)")</f>
        <v>2023 Ending Cash Balance (est.)</v>
      </c>
      <c r="I60" s="399"/>
      <c r="J60" s="403"/>
    </row>
    <row r="61" spans="2:11" x14ac:dyDescent="0.2">
      <c r="B61" s="175" t="s">
        <v>69</v>
      </c>
      <c r="C61" s="591">
        <f>C45+C60</f>
        <v>0</v>
      </c>
      <c r="D61" s="591">
        <f>D45+D60</f>
        <v>0</v>
      </c>
      <c r="E61" s="591">
        <f>E45+E60</f>
        <v>0</v>
      </c>
      <c r="G61" s="398">
        <f>E60</f>
        <v>0</v>
      </c>
      <c r="H61" s="384" t="str">
        <f>CONCATENATE("",E1," Non-AV Receipts (est.)")</f>
        <v>2024 Non-AV Receipts (est.)</v>
      </c>
      <c r="I61" s="399"/>
      <c r="J61" s="403"/>
    </row>
    <row r="62" spans="2:11" x14ac:dyDescent="0.2">
      <c r="B62" s="93" t="s">
        <v>71</v>
      </c>
      <c r="C62" s="184"/>
      <c r="D62" s="184"/>
      <c r="E62" s="38"/>
      <c r="G62" s="400">
        <f>IF(D78&gt;0,E77,E79)</f>
        <v>0</v>
      </c>
      <c r="H62" s="384" t="str">
        <f>CONCATENATE("",E1," Ad Valorem Tax (est.)")</f>
        <v>2024 Ad Valorem Tax (est.)</v>
      </c>
      <c r="I62" s="399"/>
      <c r="J62" s="403"/>
      <c r="K62" s="377" t="str">
        <f>IF(G62=E79,"","Note: Does not include Delinquent Taxes")</f>
        <v/>
      </c>
    </row>
    <row r="63" spans="2:11" x14ac:dyDescent="0.2">
      <c r="B63" s="183"/>
      <c r="C63" s="168"/>
      <c r="D63" s="168"/>
      <c r="E63" s="39"/>
      <c r="G63" s="402">
        <f>SUM(G60:G62)</f>
        <v>0</v>
      </c>
      <c r="H63" s="384" t="str">
        <f>CONCATENATE("Total ",E1," Resources Available")</f>
        <v>Total 2024 Resources Available</v>
      </c>
      <c r="I63" s="403"/>
      <c r="J63" s="403"/>
    </row>
    <row r="64" spans="2:11" x14ac:dyDescent="0.2">
      <c r="B64" s="183"/>
      <c r="C64" s="168"/>
      <c r="D64" s="168"/>
      <c r="E64" s="39"/>
      <c r="G64" s="404"/>
      <c r="H64" s="405"/>
      <c r="I64" s="383"/>
      <c r="J64" s="403"/>
    </row>
    <row r="65" spans="2:10" x14ac:dyDescent="0.2">
      <c r="B65" s="183"/>
      <c r="C65" s="168"/>
      <c r="D65" s="168"/>
      <c r="E65" s="39"/>
      <c r="G65" s="406">
        <f>ROUND(C72*0.05+C72,0)</f>
        <v>0</v>
      </c>
      <c r="H65" s="405" t="str">
        <f>CONCATENATE("Less ",E1-2," Expenditures + 5%")</f>
        <v>Less 2022 Expenditures + 5%</v>
      </c>
      <c r="I65" s="403"/>
      <c r="J65" s="403"/>
    </row>
    <row r="66" spans="2:10" x14ac:dyDescent="0.25">
      <c r="B66" s="183"/>
      <c r="C66" s="168"/>
      <c r="D66" s="168"/>
      <c r="E66" s="39"/>
      <c r="G66" s="407">
        <f>G63-G65</f>
        <v>0</v>
      </c>
      <c r="H66" s="408" t="str">
        <f>CONCATENATE("Projected ",E1+1," carryover (est.)")</f>
        <v>Projected 2025 carryover (est.)</v>
      </c>
      <c r="I66" s="409"/>
      <c r="J66" s="410"/>
    </row>
    <row r="67" spans="2:10" x14ac:dyDescent="0.25">
      <c r="B67" s="183"/>
      <c r="C67" s="168"/>
      <c r="D67" s="168"/>
      <c r="E67" s="39"/>
      <c r="G67" s="2"/>
      <c r="H67" s="2"/>
      <c r="I67" s="2"/>
    </row>
    <row r="68" spans="2:10" x14ac:dyDescent="0.2">
      <c r="B68" s="183"/>
      <c r="C68" s="168"/>
      <c r="D68" s="168"/>
      <c r="E68" s="39"/>
      <c r="G68" s="702" t="s">
        <v>722</v>
      </c>
      <c r="H68" s="703"/>
      <c r="I68" s="703"/>
      <c r="J68" s="704"/>
    </row>
    <row r="69" spans="2:10" x14ac:dyDescent="0.2">
      <c r="B69" s="184" t="str">
        <f>CONCATENATE("Cash Forward (",E1," column)")</f>
        <v>Cash Forward (2024 column)</v>
      </c>
      <c r="C69" s="168"/>
      <c r="D69" s="168"/>
      <c r="E69" s="39"/>
      <c r="G69" s="705"/>
      <c r="H69" s="706"/>
      <c r="I69" s="706"/>
      <c r="J69" s="707"/>
    </row>
    <row r="70" spans="2:10" x14ac:dyDescent="0.2">
      <c r="B70" s="184" t="s">
        <v>9</v>
      </c>
      <c r="C70" s="168"/>
      <c r="D70" s="168"/>
      <c r="E70" s="39"/>
      <c r="G70" s="577" t="str">
        <f>'Summary Budget Hearing Notice'!H21</f>
        <v xml:space="preserve">  </v>
      </c>
      <c r="H70" s="376" t="str">
        <f>CONCATENATE("",E1," Estimated Fund Mill Rate")</f>
        <v>2024 Estimated Fund Mill Rate</v>
      </c>
      <c r="I70" s="578"/>
      <c r="J70" s="579"/>
    </row>
    <row r="71" spans="2:10" x14ac:dyDescent="0.2">
      <c r="B71" s="184" t="s">
        <v>353</v>
      </c>
      <c r="C71" s="173" t="str">
        <f>IF(C72*0.1&lt;C70,"Exceed 10% Rule","")</f>
        <v/>
      </c>
      <c r="D71" s="173" t="str">
        <f>IF(D72*0.1&lt;D70,"Exceed 10% Rule","")</f>
        <v/>
      </c>
      <c r="E71" s="204" t="str">
        <f>IF(E72*0.1&lt;E70,"Exceed 10% Rule","")</f>
        <v/>
      </c>
      <c r="G71" s="580" t="str">
        <f>'Summary Budget Hearing Notice'!E21</f>
        <v xml:space="preserve">  </v>
      </c>
      <c r="H71" s="376" t="str">
        <f>CONCATENATE("",E1-1," Fund Mill Rate")</f>
        <v>2023 Fund Mill Rate</v>
      </c>
      <c r="I71" s="578"/>
      <c r="J71" s="579"/>
    </row>
    <row r="72" spans="2:10" x14ac:dyDescent="0.2">
      <c r="B72" s="175" t="s">
        <v>75</v>
      </c>
      <c r="C72" s="591">
        <f>SUM(C63:C70)</f>
        <v>0</v>
      </c>
      <c r="D72" s="591">
        <f>SUM(D63:D70)</f>
        <v>0</v>
      </c>
      <c r="E72" s="591">
        <f>SUM(E63:E70)</f>
        <v>0</v>
      </c>
      <c r="G72" s="581">
        <f>inputOth!D20</f>
        <v>50.973999999999997</v>
      </c>
      <c r="H72" s="582" t="s">
        <v>723</v>
      </c>
      <c r="I72" s="578"/>
      <c r="J72" s="579"/>
    </row>
    <row r="73" spans="2:10" x14ac:dyDescent="0.2">
      <c r="B73" s="93" t="s">
        <v>138</v>
      </c>
      <c r="C73" s="141">
        <f>C61-C72</f>
        <v>0</v>
      </c>
      <c r="D73" s="141">
        <f>D61-D72</f>
        <v>0</v>
      </c>
      <c r="E73" s="193" t="s">
        <v>49</v>
      </c>
      <c r="G73" s="577" t="e">
        <f>'Summary Budget Hearing Notice'!H52</f>
        <v>#REF!</v>
      </c>
      <c r="H73" s="376" t="str">
        <f>CONCATENATE(E1," Estimated Total Mill Rate")</f>
        <v>2024 Estimated Total Mill Rate</v>
      </c>
      <c r="I73" s="578"/>
      <c r="J73" s="579"/>
    </row>
    <row r="74" spans="2:10" x14ac:dyDescent="0.2">
      <c r="B74" s="108" t="str">
        <f>CONCATENATE("",E1-2,"/",E1-1,"/",E1," Budget Authority Amount:")</f>
        <v>2022/2023/2024 Budget Authority Amount:</v>
      </c>
      <c r="C74" s="446">
        <f>inputOth!B71</f>
        <v>0</v>
      </c>
      <c r="D74" s="446">
        <f>inputPrYr!D25</f>
        <v>0</v>
      </c>
      <c r="E74" s="141">
        <f>E72</f>
        <v>0</v>
      </c>
      <c r="G74" s="583">
        <f>'Summary Budget Hearing Notice'!E52</f>
        <v>54.954999999999991</v>
      </c>
      <c r="H74" s="376" t="str">
        <f>CONCATENATE(E1-1," Total Mill Rate")</f>
        <v>2023 Total Mill Rate</v>
      </c>
      <c r="I74" s="578"/>
      <c r="J74" s="579"/>
    </row>
    <row r="75" spans="2:10" x14ac:dyDescent="0.2">
      <c r="B75" s="80"/>
      <c r="C75" s="695" t="s">
        <v>320</v>
      </c>
      <c r="D75" s="696"/>
      <c r="E75" s="39"/>
      <c r="G75" s="396"/>
      <c r="H75" s="383"/>
      <c r="I75" s="383"/>
      <c r="J75" s="403"/>
    </row>
    <row r="76" spans="2:10" x14ac:dyDescent="0.2">
      <c r="B76" s="329" t="str">
        <f>CONCATENATE(C99,"     ",D99)</f>
        <v xml:space="preserve">     </v>
      </c>
      <c r="C76" s="697" t="s">
        <v>321</v>
      </c>
      <c r="D76" s="698"/>
      <c r="E76" s="141">
        <f>E72+E75</f>
        <v>0</v>
      </c>
      <c r="G76" s="708" t="s">
        <v>724</v>
      </c>
      <c r="H76" s="709"/>
      <c r="I76" s="709"/>
      <c r="J76" s="712" t="e">
        <f>IF(G73&gt;G72, "Yes", "No")</f>
        <v>#REF!</v>
      </c>
    </row>
    <row r="77" spans="2:10" x14ac:dyDescent="0.2">
      <c r="B77" s="329" t="str">
        <f>CONCATENATE(C100,"     ",D100)</f>
        <v xml:space="preserve">     </v>
      </c>
      <c r="C77" s="186"/>
      <c r="D77" s="107" t="s">
        <v>76</v>
      </c>
      <c r="E77" s="141">
        <f>IF(E76-E61&gt;0,E76-E61,0)</f>
        <v>0</v>
      </c>
      <c r="G77" s="710"/>
      <c r="H77" s="711"/>
      <c r="I77" s="711"/>
      <c r="J77" s="713"/>
    </row>
    <row r="78" spans="2:10" x14ac:dyDescent="0.2">
      <c r="B78" s="107"/>
      <c r="C78" s="255" t="s">
        <v>319</v>
      </c>
      <c r="D78" s="450">
        <f>inputOth!$E$52</f>
        <v>1.4E-2</v>
      </c>
      <c r="E78" s="141">
        <f>ROUND(IF(D78&gt;0,(E77*D78),0),0)</f>
        <v>0</v>
      </c>
      <c r="G78" s="714" t="e">
        <f>IF(J76="Yes", "Follow procedure prescribed by KSA 79-2988 to exceed the Revenue Neutral Rate.", " ")</f>
        <v>#REF!</v>
      </c>
      <c r="H78" s="714"/>
      <c r="I78" s="714"/>
      <c r="J78" s="714"/>
    </row>
    <row r="79" spans="2:10" ht="16.5" thickBot="1" x14ac:dyDescent="0.25">
      <c r="B79" s="28"/>
      <c r="C79" s="676" t="str">
        <f>CONCATENATE("Amount of  ",$E$1-1," Ad Valorem Tax")</f>
        <v>Amount of  2023 Ad Valorem Tax</v>
      </c>
      <c r="D79" s="699"/>
      <c r="E79" s="381">
        <f>E77+E78</f>
        <v>0</v>
      </c>
      <c r="F79" s="185"/>
      <c r="G79" s="715"/>
      <c r="H79" s="715"/>
      <c r="I79" s="715"/>
      <c r="J79" s="715"/>
    </row>
    <row r="80" spans="2:10" ht="16.5" thickTop="1" x14ac:dyDescent="0.2">
      <c r="B80" s="28"/>
      <c r="C80" s="28"/>
      <c r="D80" s="28"/>
      <c r="E80" s="28"/>
      <c r="F80" s="451" t="str">
        <f>IF(E72/0.95-E72&lt;E75,"Exceeds 5%","")</f>
        <v/>
      </c>
      <c r="G80" s="715"/>
      <c r="H80" s="715"/>
      <c r="I80" s="715"/>
      <c r="J80" s="715"/>
    </row>
    <row r="81" spans="2:5" x14ac:dyDescent="0.2">
      <c r="B81" s="537" t="s">
        <v>539</v>
      </c>
      <c r="C81" s="69"/>
      <c r="D81" s="69"/>
      <c r="E81" s="511"/>
    </row>
    <row r="82" spans="2:5" x14ac:dyDescent="0.2">
      <c r="B82" s="396"/>
      <c r="C82" s="28"/>
      <c r="D82" s="28"/>
      <c r="E82" s="403"/>
    </row>
    <row r="83" spans="2:5" x14ac:dyDescent="0.2">
      <c r="B83" s="514"/>
      <c r="C83" s="43"/>
      <c r="D83" s="43"/>
      <c r="E83" s="49"/>
    </row>
    <row r="84" spans="2:5" x14ac:dyDescent="0.2">
      <c r="B84" s="28"/>
      <c r="C84" s="28"/>
      <c r="D84" s="28"/>
      <c r="E84" s="28"/>
    </row>
    <row r="85" spans="2:5" x14ac:dyDescent="0.2">
      <c r="B85" s="272" t="s">
        <v>78</v>
      </c>
      <c r="C85" s="464"/>
      <c r="D85" s="28"/>
      <c r="E85" s="28"/>
    </row>
    <row r="97" spans="3:4" x14ac:dyDescent="0.2">
      <c r="C97" s="328" t="str">
        <f>IF(C33&gt;C35,"See Tab A","")</f>
        <v/>
      </c>
      <c r="D97" s="328" t="str">
        <f>IF(D31&gt;D35,"See Tab C","")</f>
        <v/>
      </c>
    </row>
    <row r="98" spans="3:4" hidden="1" x14ac:dyDescent="0.2">
      <c r="C98" s="328" t="str">
        <f>IF(C34&lt;0,"See Tab B","")</f>
        <v/>
      </c>
      <c r="D98" s="328" t="str">
        <f>IF(D34&lt;0,"See Tab D","")</f>
        <v/>
      </c>
    </row>
    <row r="99" spans="3:4" hidden="1" x14ac:dyDescent="0.2">
      <c r="C99" s="328" t="str">
        <f>IF(C70&gt;C74,"See Tab A","")</f>
        <v/>
      </c>
      <c r="D99" s="328" t="str">
        <f>IF(D70&gt;D74,"See Tab C","")</f>
        <v/>
      </c>
    </row>
    <row r="100" spans="3:4" hidden="1" x14ac:dyDescent="0.2">
      <c r="C100" s="328" t="str">
        <f>IF(C73&lt;0,"See Tab B","")</f>
        <v/>
      </c>
      <c r="D100" s="328" t="str">
        <f>IF(D73&lt;0,"See Tab D","")</f>
        <v/>
      </c>
    </row>
    <row r="101" spans="3:4" hidden="1" x14ac:dyDescent="0.2"/>
  </sheetData>
  <sheetProtection sheet="1" objects="1" scenarios="1"/>
  <mergeCells count="19">
    <mergeCell ref="G76:I77"/>
    <mergeCell ref="J76:J77"/>
    <mergeCell ref="G78:J80"/>
    <mergeCell ref="G9:J9"/>
    <mergeCell ref="G16:J16"/>
    <mergeCell ref="G51:J51"/>
    <mergeCell ref="G58:J58"/>
    <mergeCell ref="G26:J27"/>
    <mergeCell ref="G34:I35"/>
    <mergeCell ref="J34:J35"/>
    <mergeCell ref="G36:J38"/>
    <mergeCell ref="G68:J69"/>
    <mergeCell ref="C79:D79"/>
    <mergeCell ref="C75:D75"/>
    <mergeCell ref="C76:D76"/>
    <mergeCell ref="C36:D36"/>
    <mergeCell ref="C37:D37"/>
    <mergeCell ref="C41:D41"/>
    <mergeCell ref="C40:D40"/>
  </mergeCells>
  <phoneticPr fontId="0" type="noConversion"/>
  <conditionalFormatting sqref="C19">
    <cfRule type="cellIs" dxfId="92" priority="19" stopIfTrue="1" operator="greaterThan">
      <formula>$C$21*0.1</formula>
    </cfRule>
  </conditionalFormatting>
  <conditionalFormatting sqref="C31">
    <cfRule type="cellIs" dxfId="91" priority="9" stopIfTrue="1" operator="greaterThan">
      <formula>$C$33*0.1</formula>
    </cfRule>
  </conditionalFormatting>
  <conditionalFormatting sqref="C58">
    <cfRule type="cellIs" dxfId="90" priority="21" stopIfTrue="1" operator="greaterThan">
      <formula>$C$60*0.1</formula>
    </cfRule>
  </conditionalFormatting>
  <conditionalFormatting sqref="C70">
    <cfRule type="cellIs" dxfId="89" priority="14" stopIfTrue="1" operator="greaterThan">
      <formula>$C$72*0.1</formula>
    </cfRule>
  </conditionalFormatting>
  <conditionalFormatting sqref="D19">
    <cfRule type="cellIs" dxfId="88" priority="18" stopIfTrue="1" operator="greaterThan">
      <formula>$D$21*0.1</formula>
    </cfRule>
  </conditionalFormatting>
  <conditionalFormatting sqref="D31">
    <cfRule type="cellIs" dxfId="87" priority="10" stopIfTrue="1" operator="greaterThan">
      <formula>$D$33*0.1</formula>
    </cfRule>
  </conditionalFormatting>
  <conditionalFormatting sqref="D58">
    <cfRule type="cellIs" dxfId="86" priority="20" stopIfTrue="1" operator="greaterThan">
      <formula>$D$60*0.1</formula>
    </cfRule>
  </conditionalFormatting>
  <conditionalFormatting sqref="D70">
    <cfRule type="cellIs" dxfId="85" priority="15" stopIfTrue="1" operator="greaterThan">
      <formula>$D$72*0.1</formula>
    </cfRule>
  </conditionalFormatting>
  <conditionalFormatting sqref="E19">
    <cfRule type="cellIs" dxfId="84" priority="23" stopIfTrue="1" operator="greaterThan">
      <formula>$E$21*0.1+E40</formula>
    </cfRule>
  </conditionalFormatting>
  <conditionalFormatting sqref="E31">
    <cfRule type="cellIs" dxfId="83" priority="7" stopIfTrue="1" operator="greaterThan">
      <formula>$E$33*0.1</formula>
    </cfRule>
  </conditionalFormatting>
  <conditionalFormatting sqref="E36">
    <cfRule type="cellIs" dxfId="82" priority="8" stopIfTrue="1" operator="greaterThan">
      <formula>$E$33/0.95-$E$33</formula>
    </cfRule>
  </conditionalFormatting>
  <conditionalFormatting sqref="E58">
    <cfRule type="cellIs" dxfId="81" priority="22" stopIfTrue="1" operator="greaterThan">
      <formula>$E$60*0.1+E79</formula>
    </cfRule>
  </conditionalFormatting>
  <conditionalFormatting sqref="E70">
    <cfRule type="cellIs" dxfId="80" priority="5" stopIfTrue="1" operator="greaterThan">
      <formula>$E$72*0.1</formula>
    </cfRule>
  </conditionalFormatting>
  <conditionalFormatting sqref="E75">
    <cfRule type="cellIs" dxfId="79" priority="6" stopIfTrue="1" operator="greaterThan">
      <formula>$E$72/0.95-$E$72</formula>
    </cfRule>
  </conditionalFormatting>
  <conditionalFormatting sqref="J34">
    <cfRule type="containsText" dxfId="78" priority="2" operator="containsText" text="Yes">
      <formula>NOT(ISERROR(SEARCH("Yes",J34)))</formula>
    </cfRule>
  </conditionalFormatting>
  <conditionalFormatting sqref="J76">
    <cfRule type="containsText" dxfId="77" priority="1" operator="containsText" text="Yes">
      <formula>NOT(ISERROR(SEARCH("Yes",J76)))</formula>
    </cfRule>
  </conditionalFormatting>
  <pageMargins left="0.5" right="0.5" top="1" bottom="0.5" header="0.5" footer="0.5"/>
  <pageSetup scale="55" orientation="portrait" blackAndWhite="1" r:id="rId1"/>
  <headerFooter alignWithMargins="0">
    <oddHeader>&amp;RState of Kansas
City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J65"/>
  <sheetViews>
    <sheetView tabSelected="1" workbookViewId="0">
      <selection activeCell="F1" sqref="F1"/>
    </sheetView>
  </sheetViews>
  <sheetFormatPr defaultColWidth="8.88671875" defaultRowHeight="15.75" x14ac:dyDescent="0.2"/>
  <cols>
    <col min="1" max="1" width="2.44140625" style="26" customWidth="1"/>
    <col min="2" max="2" width="31.109375" style="26" customWidth="1"/>
    <col min="3" max="4" width="15.77734375" style="26" customWidth="1"/>
    <col min="5" max="5" width="16.21875" style="26" customWidth="1"/>
    <col min="6" max="16384" width="8.88671875" style="26"/>
  </cols>
  <sheetData>
    <row r="1" spans="2:5" x14ac:dyDescent="0.2">
      <c r="B1" s="47" t="str">
        <f>(inputPrYr!D3)</f>
        <v>Wellsville</v>
      </c>
      <c r="C1" s="28"/>
      <c r="D1" s="28"/>
      <c r="E1" s="80">
        <f>inputPrYr!C6</f>
        <v>2024</v>
      </c>
    </row>
    <row r="2" spans="2:5" x14ac:dyDescent="0.2">
      <c r="B2" s="28"/>
      <c r="C2" s="28"/>
      <c r="D2" s="28"/>
      <c r="E2" s="107"/>
    </row>
    <row r="3" spans="2:5" x14ac:dyDescent="0.2">
      <c r="B3" s="161" t="s">
        <v>124</v>
      </c>
      <c r="C3" s="195"/>
      <c r="D3" s="195"/>
      <c r="E3" s="195"/>
    </row>
    <row r="4" spans="2:5" x14ac:dyDescent="0.2">
      <c r="B4" s="29" t="s">
        <v>59</v>
      </c>
      <c r="C4" s="442" t="s">
        <v>479</v>
      </c>
      <c r="D4" s="443" t="s">
        <v>480</v>
      </c>
      <c r="E4" s="87" t="s">
        <v>481</v>
      </c>
    </row>
    <row r="5" spans="2:5" x14ac:dyDescent="0.2">
      <c r="B5" s="332" t="str">
        <f>(inputPrYr!B35)</f>
        <v>Special Highway</v>
      </c>
      <c r="C5" s="138" t="str">
        <f>CONCATENATE("Actual for ",E1-2,"")</f>
        <v>Actual for 2022</v>
      </c>
      <c r="D5" s="138" t="str">
        <f>CONCATENATE("Estimate for ",E1-1,"")</f>
        <v>Estimate for 2023</v>
      </c>
      <c r="E5" s="122" t="str">
        <f>CONCATENATE("Year for ",E1,"")</f>
        <v>Year for 2024</v>
      </c>
    </row>
    <row r="6" spans="2:5" x14ac:dyDescent="0.2">
      <c r="B6" s="163" t="s">
        <v>137</v>
      </c>
      <c r="C6" s="39"/>
      <c r="D6" s="141">
        <f>C27</f>
        <v>0</v>
      </c>
      <c r="E6" s="141">
        <f>D27</f>
        <v>0</v>
      </c>
    </row>
    <row r="7" spans="2:5" x14ac:dyDescent="0.2">
      <c r="B7" s="167" t="s">
        <v>139</v>
      </c>
      <c r="C7" s="52"/>
      <c r="D7" s="52"/>
      <c r="E7" s="52"/>
    </row>
    <row r="8" spans="2:5" x14ac:dyDescent="0.2">
      <c r="B8" s="184" t="s">
        <v>133</v>
      </c>
      <c r="C8" s="39"/>
      <c r="D8" s="198">
        <f>inputOth!E57</f>
        <v>0</v>
      </c>
      <c r="E8" s="141">
        <f>inputOth!E55</f>
        <v>0</v>
      </c>
    </row>
    <row r="9" spans="2:5" x14ac:dyDescent="0.2">
      <c r="B9" s="199" t="s">
        <v>172</v>
      </c>
      <c r="C9" s="39"/>
      <c r="D9" s="198">
        <f>inputOth!E58</f>
        <v>0</v>
      </c>
      <c r="E9" s="198">
        <f>inputOth!E56</f>
        <v>0</v>
      </c>
    </row>
    <row r="10" spans="2:5" x14ac:dyDescent="0.2">
      <c r="B10" s="183"/>
      <c r="C10" s="39"/>
      <c r="D10" s="39"/>
      <c r="E10" s="39"/>
    </row>
    <row r="11" spans="2:5" x14ac:dyDescent="0.2">
      <c r="B11" s="183"/>
      <c r="C11" s="39"/>
      <c r="D11" s="39"/>
      <c r="E11" s="39"/>
    </row>
    <row r="12" spans="2:5" x14ac:dyDescent="0.2">
      <c r="B12" s="172" t="s">
        <v>67</v>
      </c>
      <c r="C12" s="39"/>
      <c r="D12" s="39"/>
      <c r="E12" s="39"/>
    </row>
    <row r="13" spans="2:5" x14ac:dyDescent="0.2">
      <c r="B13" s="102" t="s">
        <v>9</v>
      </c>
      <c r="C13" s="39"/>
      <c r="D13" s="169"/>
      <c r="E13" s="169"/>
    </row>
    <row r="14" spans="2:5" x14ac:dyDescent="0.2">
      <c r="B14" s="163" t="s">
        <v>352</v>
      </c>
      <c r="C14" s="204" t="str">
        <f>IF(C15*0.1&lt;C13,"Exceed 10% Rule","")</f>
        <v/>
      </c>
      <c r="D14" s="174" t="str">
        <f>IF(D15*0.1&lt;D13,"Exceed 10% Rule","")</f>
        <v/>
      </c>
      <c r="E14" s="174" t="str">
        <f>IF(E15*0.1&lt;E13,"Exceed 10% Rule","")</f>
        <v/>
      </c>
    </row>
    <row r="15" spans="2:5" x14ac:dyDescent="0.2">
      <c r="B15" s="175" t="s">
        <v>68</v>
      </c>
      <c r="C15" s="178">
        <f>SUM(C8:C13)</f>
        <v>0</v>
      </c>
      <c r="D15" s="178">
        <f>SUM(D8:D13)</f>
        <v>0</v>
      </c>
      <c r="E15" s="178">
        <f>SUM(E8:E13)</f>
        <v>0</v>
      </c>
    </row>
    <row r="16" spans="2:5" x14ac:dyDescent="0.2">
      <c r="B16" s="175" t="s">
        <v>69</v>
      </c>
      <c r="C16" s="178">
        <f>C6+C15</f>
        <v>0</v>
      </c>
      <c r="D16" s="178">
        <f>D6+D15</f>
        <v>0</v>
      </c>
      <c r="E16" s="178">
        <f>E6+E15</f>
        <v>0</v>
      </c>
    </row>
    <row r="17" spans="2:10" x14ac:dyDescent="0.2">
      <c r="B17" s="93" t="s">
        <v>71</v>
      </c>
      <c r="C17" s="141"/>
      <c r="D17" s="141"/>
      <c r="E17" s="141"/>
    </row>
    <row r="18" spans="2:10" x14ac:dyDescent="0.2">
      <c r="B18" s="183"/>
      <c r="C18" s="39"/>
      <c r="D18" s="39"/>
      <c r="E18" s="39"/>
    </row>
    <row r="19" spans="2:10" x14ac:dyDescent="0.2">
      <c r="B19" s="183"/>
      <c r="C19" s="39"/>
      <c r="D19" s="39"/>
      <c r="E19" s="39"/>
    </row>
    <row r="20" spans="2:10" x14ac:dyDescent="0.2">
      <c r="B20" s="183"/>
      <c r="C20" s="39"/>
      <c r="D20" s="39"/>
      <c r="E20" s="39"/>
    </row>
    <row r="21" spans="2:10" x14ac:dyDescent="0.2">
      <c r="B21" s="183"/>
      <c r="C21" s="39"/>
      <c r="D21" s="39"/>
      <c r="E21" s="39"/>
    </row>
    <row r="22" spans="2:10" x14ac:dyDescent="0.2">
      <c r="B22" s="183"/>
      <c r="C22" s="39"/>
      <c r="D22" s="39"/>
      <c r="E22" s="39"/>
    </row>
    <row r="23" spans="2:10" x14ac:dyDescent="0.2">
      <c r="B23" s="184" t="str">
        <f>CONCATENATE("Cash Forward (",E1," column)")</f>
        <v>Cash Forward (2024 column)</v>
      </c>
      <c r="C23" s="39"/>
      <c r="D23" s="39"/>
      <c r="E23" s="39"/>
      <c r="J23" s="26">
        <v>0</v>
      </c>
    </row>
    <row r="24" spans="2:10" x14ac:dyDescent="0.2">
      <c r="B24" s="184" t="s">
        <v>9</v>
      </c>
      <c r="C24" s="39"/>
      <c r="D24" s="169"/>
      <c r="E24" s="169"/>
    </row>
    <row r="25" spans="2:10" x14ac:dyDescent="0.2">
      <c r="B25" s="184" t="s">
        <v>353</v>
      </c>
      <c r="C25" s="204" t="str">
        <f>IF(C26*0.1&lt;C24,"Exceed 10% Rule","")</f>
        <v/>
      </c>
      <c r="D25" s="174" t="str">
        <f>IF(D26*0.1&lt;D24,"Exceed 10% Rule","")</f>
        <v/>
      </c>
      <c r="E25" s="174" t="str">
        <f>IF(E26*0.1&lt;E24,"Exceed 10% Rule","")</f>
        <v/>
      </c>
    </row>
    <row r="26" spans="2:10" x14ac:dyDescent="0.2">
      <c r="B26" s="175" t="s">
        <v>75</v>
      </c>
      <c r="C26" s="178">
        <f>SUM(C18:C24)</f>
        <v>0</v>
      </c>
      <c r="D26" s="178">
        <f>SUM(D18:D24)</f>
        <v>0</v>
      </c>
      <c r="E26" s="178">
        <f>SUM(E18:E24)</f>
        <v>0</v>
      </c>
    </row>
    <row r="27" spans="2:10" x14ac:dyDescent="0.2">
      <c r="B27" s="93" t="s">
        <v>138</v>
      </c>
      <c r="C27" s="50">
        <f>C16-C26</f>
        <v>0</v>
      </c>
      <c r="D27" s="50">
        <f>D16-D26</f>
        <v>0</v>
      </c>
      <c r="E27" s="50">
        <f>E16-E26</f>
        <v>0</v>
      </c>
    </row>
    <row r="28" spans="2:10" x14ac:dyDescent="0.2">
      <c r="B28" s="108" t="str">
        <f>CONCATENATE("",E1-2,"/",E1-1,"/",E1," Budget Authority Amount:")</f>
        <v>2022/2023/2024 Budget Authority Amount:</v>
      </c>
      <c r="C28" s="446">
        <f>inputOth!B78</f>
        <v>50793</v>
      </c>
      <c r="D28" s="446">
        <f>inputPrYr!D35</f>
        <v>54403</v>
      </c>
      <c r="E28" s="458">
        <f>E26</f>
        <v>0</v>
      </c>
    </row>
    <row r="29" spans="2:10" x14ac:dyDescent="0.2">
      <c r="B29" s="80"/>
      <c r="C29" s="186" t="str">
        <f>IF(C26&gt;C28,"See Tab A","")</f>
        <v/>
      </c>
      <c r="D29" s="186" t="str">
        <f>IF(D26&gt;D28,"See Tab C","")</f>
        <v/>
      </c>
      <c r="E29" s="459" t="str">
        <f>IF(E27&lt;0,"See Tab E","")</f>
        <v/>
      </c>
    </row>
    <row r="30" spans="2:10" x14ac:dyDescent="0.2">
      <c r="B30" s="80"/>
      <c r="C30" s="186" t="str">
        <f>IF(C27&lt;0,"See Tab B","")</f>
        <v/>
      </c>
      <c r="D30" s="186" t="str">
        <f>IF(D27&lt;0,"See Tab D","")</f>
        <v/>
      </c>
      <c r="E30" s="56"/>
    </row>
    <row r="31" spans="2:10" x14ac:dyDescent="0.2">
      <c r="B31" s="28"/>
      <c r="C31" s="56"/>
      <c r="D31" s="56"/>
      <c r="E31" s="56"/>
    </row>
    <row r="32" spans="2:10" x14ac:dyDescent="0.2">
      <c r="B32" s="29" t="s">
        <v>59</v>
      </c>
      <c r="C32" s="200"/>
      <c r="D32" s="200"/>
      <c r="E32" s="200"/>
    </row>
    <row r="33" spans="2:5" x14ac:dyDescent="0.2">
      <c r="B33" s="28"/>
      <c r="C33" s="442" t="s">
        <v>479</v>
      </c>
      <c r="D33" s="443" t="s">
        <v>480</v>
      </c>
      <c r="E33" s="87" t="s">
        <v>481</v>
      </c>
    </row>
    <row r="34" spans="2:5" x14ac:dyDescent="0.2">
      <c r="B34" s="332" t="str">
        <f>(inputPrYr!B36)</f>
        <v>Building Capital Improvement</v>
      </c>
      <c r="C34" s="138" t="str">
        <f>CONCATENATE("Actual for ",$E$1-2,"")</f>
        <v>Actual for 2022</v>
      </c>
      <c r="D34" s="138" t="str">
        <f>CONCATENATE("Estimate for ",$E$1-1,"")</f>
        <v>Estimate for 2023</v>
      </c>
      <c r="E34" s="122" t="str">
        <f>CONCATENATE("Year for ",$E$1,"")</f>
        <v>Year for 2024</v>
      </c>
    </row>
    <row r="35" spans="2:5" x14ac:dyDescent="0.2">
      <c r="B35" s="163" t="s">
        <v>137</v>
      </c>
      <c r="C35" s="39"/>
      <c r="D35" s="141">
        <f>C58</f>
        <v>0</v>
      </c>
      <c r="E35" s="141">
        <f>D58</f>
        <v>0</v>
      </c>
    </row>
    <row r="36" spans="2:5" x14ac:dyDescent="0.2">
      <c r="B36" s="167" t="s">
        <v>139</v>
      </c>
      <c r="C36" s="52"/>
      <c r="D36" s="52"/>
      <c r="E36" s="52"/>
    </row>
    <row r="37" spans="2:5" x14ac:dyDescent="0.2">
      <c r="B37" s="183"/>
      <c r="C37" s="39"/>
      <c r="D37" s="39"/>
      <c r="E37" s="39"/>
    </row>
    <row r="38" spans="2:5" x14ac:dyDescent="0.2">
      <c r="B38" s="183"/>
      <c r="C38" s="39"/>
      <c r="D38" s="39"/>
      <c r="E38" s="39"/>
    </row>
    <row r="39" spans="2:5" x14ac:dyDescent="0.2">
      <c r="B39" s="183"/>
      <c r="C39" s="39"/>
      <c r="D39" s="39"/>
      <c r="E39" s="39"/>
    </row>
    <row r="40" spans="2:5" x14ac:dyDescent="0.2">
      <c r="B40" s="183"/>
      <c r="C40" s="39"/>
      <c r="D40" s="39"/>
      <c r="E40" s="39"/>
    </row>
    <row r="41" spans="2:5" x14ac:dyDescent="0.2">
      <c r="B41" s="172" t="s">
        <v>67</v>
      </c>
      <c r="C41" s="39"/>
      <c r="D41" s="39"/>
      <c r="E41" s="39"/>
    </row>
    <row r="42" spans="2:5" x14ac:dyDescent="0.2">
      <c r="B42" s="102" t="s">
        <v>9</v>
      </c>
      <c r="C42" s="39"/>
      <c r="D42" s="169"/>
      <c r="E42" s="169"/>
    </row>
    <row r="43" spans="2:5" x14ac:dyDescent="0.2">
      <c r="B43" s="163" t="s">
        <v>352</v>
      </c>
      <c r="C43" s="204" t="str">
        <f>IF(C44*0.1&lt;C42,"Exceed 10% Rule","")</f>
        <v/>
      </c>
      <c r="D43" s="174" t="str">
        <f>IF(D44*0.1&lt;D42,"Exceed 10% Rule","")</f>
        <v/>
      </c>
      <c r="E43" s="174" t="str">
        <f>IF(E44*0.1&lt;E42,"Exceed 10% Rule","")</f>
        <v/>
      </c>
    </row>
    <row r="44" spans="2:5" x14ac:dyDescent="0.2">
      <c r="B44" s="175" t="s">
        <v>68</v>
      </c>
      <c r="C44" s="178">
        <f>SUM(C37:C42)</f>
        <v>0</v>
      </c>
      <c r="D44" s="178">
        <f>SUM(D37:D42)</f>
        <v>0</v>
      </c>
      <c r="E44" s="178">
        <f>SUM(E37:E42)</f>
        <v>0</v>
      </c>
    </row>
    <row r="45" spans="2:5" x14ac:dyDescent="0.2">
      <c r="B45" s="175" t="s">
        <v>69</v>
      </c>
      <c r="C45" s="178">
        <f>C35+C44</f>
        <v>0</v>
      </c>
      <c r="D45" s="178">
        <f>D35+D44</f>
        <v>0</v>
      </c>
      <c r="E45" s="178">
        <f>E35+E44</f>
        <v>0</v>
      </c>
    </row>
    <row r="46" spans="2:5" x14ac:dyDescent="0.2">
      <c r="B46" s="93" t="s">
        <v>71</v>
      </c>
      <c r="C46" s="141"/>
      <c r="D46" s="141"/>
      <c r="E46" s="141"/>
    </row>
    <row r="47" spans="2:5" x14ac:dyDescent="0.2">
      <c r="B47" s="183"/>
      <c r="C47" s="39"/>
      <c r="D47" s="39"/>
      <c r="E47" s="39"/>
    </row>
    <row r="48" spans="2:5" x14ac:dyDescent="0.2">
      <c r="B48" s="183"/>
      <c r="C48" s="39"/>
      <c r="D48" s="39"/>
      <c r="E48" s="39"/>
    </row>
    <row r="49" spans="2:5" x14ac:dyDescent="0.2">
      <c r="B49" s="183"/>
      <c r="C49" s="39"/>
      <c r="D49" s="39"/>
      <c r="E49" s="39"/>
    </row>
    <row r="50" spans="2:5" x14ac:dyDescent="0.2">
      <c r="B50" s="183"/>
      <c r="C50" s="39"/>
      <c r="D50" s="39"/>
      <c r="E50" s="39"/>
    </row>
    <row r="51" spans="2:5" x14ac:dyDescent="0.2">
      <c r="B51" s="183"/>
      <c r="C51" s="39"/>
      <c r="D51" s="39"/>
      <c r="E51" s="39"/>
    </row>
    <row r="52" spans="2:5" x14ac:dyDescent="0.2">
      <c r="B52" s="183"/>
      <c r="C52" s="39"/>
      <c r="D52" s="39"/>
      <c r="E52" s="39"/>
    </row>
    <row r="53" spans="2:5" x14ac:dyDescent="0.2">
      <c r="B53" s="183"/>
      <c r="C53" s="39"/>
      <c r="D53" s="39"/>
      <c r="E53" s="39"/>
    </row>
    <row r="54" spans="2:5" x14ac:dyDescent="0.2">
      <c r="B54" s="184" t="str">
        <f>CONCATENATE("Cash Forward (",E1," column)")</f>
        <v>Cash Forward (2024 column)</v>
      </c>
      <c r="C54" s="39"/>
      <c r="D54" s="39"/>
      <c r="E54" s="39"/>
    </row>
    <row r="55" spans="2:5" x14ac:dyDescent="0.2">
      <c r="B55" s="184" t="s">
        <v>9</v>
      </c>
      <c r="C55" s="39"/>
      <c r="D55" s="169"/>
      <c r="E55" s="169"/>
    </row>
    <row r="56" spans="2:5" x14ac:dyDescent="0.2">
      <c r="B56" s="184" t="s">
        <v>353</v>
      </c>
      <c r="C56" s="204" t="str">
        <f>IF(C57*0.1&lt;C55,"Exceed 10% Rule","")</f>
        <v/>
      </c>
      <c r="D56" s="174" t="str">
        <f>IF(D57*0.1&lt;D55,"Exceed 10% Rule","")</f>
        <v/>
      </c>
      <c r="E56" s="174" t="str">
        <f>IF(E57*0.1&lt;E55,"Exceed 10% Rule","")</f>
        <v/>
      </c>
    </row>
    <row r="57" spans="2:5" x14ac:dyDescent="0.2">
      <c r="B57" s="175" t="s">
        <v>75</v>
      </c>
      <c r="C57" s="178">
        <f>SUM(C47:C55)</f>
        <v>0</v>
      </c>
      <c r="D57" s="178">
        <f>SUM(D47:D55)</f>
        <v>0</v>
      </c>
      <c r="E57" s="178">
        <f>SUM(E47:E55)</f>
        <v>0</v>
      </c>
    </row>
    <row r="58" spans="2:5" x14ac:dyDescent="0.2">
      <c r="B58" s="93" t="s">
        <v>138</v>
      </c>
      <c r="C58" s="50">
        <f>C45-C57</f>
        <v>0</v>
      </c>
      <c r="D58" s="50">
        <f>D45-D57</f>
        <v>0</v>
      </c>
      <c r="E58" s="50">
        <f>E45-E57</f>
        <v>0</v>
      </c>
    </row>
    <row r="59" spans="2:5" x14ac:dyDescent="0.2">
      <c r="B59" s="108" t="str">
        <f>CONCATENATE("",E1-2,"/",E1-1,"/",E1," Budget Authority Amount:")</f>
        <v>2022/2023/2024 Budget Authority Amount:</v>
      </c>
      <c r="C59" s="446">
        <f>inputOth!B79</f>
        <v>66364</v>
      </c>
      <c r="D59" s="446">
        <f>inputPrYr!D36</f>
        <v>53947</v>
      </c>
      <c r="E59" s="458">
        <f>E57</f>
        <v>0</v>
      </c>
    </row>
    <row r="60" spans="2:5" x14ac:dyDescent="0.2">
      <c r="B60" s="80"/>
      <c r="C60" s="186" t="str">
        <f>IF(C57&gt;C59,"See Tab A","")</f>
        <v/>
      </c>
      <c r="D60" s="186" t="str">
        <f>IF(D57&gt;D59,"See Tab C","")</f>
        <v/>
      </c>
      <c r="E60" s="459" t="str">
        <f>IF(E58&lt;0,"See Tab E","")</f>
        <v/>
      </c>
    </row>
    <row r="61" spans="2:5" x14ac:dyDescent="0.2">
      <c r="B61" s="539" t="s">
        <v>539</v>
      </c>
      <c r="C61" s="528" t="str">
        <f>IF(C58&lt;0,"See Tab B","")</f>
        <v/>
      </c>
      <c r="D61" s="528" t="str">
        <f>IF(D58&lt;0,"See Tab D","")</f>
        <v/>
      </c>
      <c r="E61" s="511"/>
    </row>
    <row r="62" spans="2:5" x14ac:dyDescent="0.2">
      <c r="B62" s="529"/>
      <c r="C62" s="186"/>
      <c r="D62" s="186"/>
      <c r="E62" s="403"/>
    </row>
    <row r="63" spans="2:5" x14ac:dyDescent="0.2">
      <c r="B63" s="530"/>
      <c r="C63" s="531"/>
      <c r="D63" s="531"/>
      <c r="E63" s="49"/>
    </row>
    <row r="64" spans="2:5" x14ac:dyDescent="0.2">
      <c r="B64" s="28"/>
      <c r="C64" s="28"/>
      <c r="D64" s="28"/>
      <c r="E64" s="28"/>
    </row>
    <row r="65" spans="2:5" x14ac:dyDescent="0.2">
      <c r="B65" s="272" t="s">
        <v>78</v>
      </c>
      <c r="C65" s="464"/>
      <c r="D65" s="28"/>
      <c r="E65" s="28"/>
    </row>
  </sheetData>
  <sheetProtection sheet="1" objects="1" scenarios="1"/>
  <phoneticPr fontId="0" type="noConversion"/>
  <conditionalFormatting sqref="C13">
    <cfRule type="cellIs" dxfId="76" priority="5" stopIfTrue="1" operator="greaterThan">
      <formula>$C$15*0.1</formula>
    </cfRule>
  </conditionalFormatting>
  <conditionalFormatting sqref="C24">
    <cfRule type="cellIs" dxfId="75" priority="8" stopIfTrue="1" operator="greaterThan">
      <formula>$C$26*0.1</formula>
    </cfRule>
  </conditionalFormatting>
  <conditionalFormatting sqref="C26">
    <cfRule type="cellIs" dxfId="74" priority="21" stopIfTrue="1" operator="greaterThan">
      <formula>$C$28</formula>
    </cfRule>
  </conditionalFormatting>
  <conditionalFormatting sqref="C27 C58">
    <cfRule type="cellIs" dxfId="73" priority="19" stopIfTrue="1" operator="lessThan">
      <formula>0</formula>
    </cfRule>
  </conditionalFormatting>
  <conditionalFormatting sqref="C42">
    <cfRule type="cellIs" dxfId="72" priority="11" stopIfTrue="1" operator="greaterThan">
      <formula>$C$44*0.1</formula>
    </cfRule>
  </conditionalFormatting>
  <conditionalFormatting sqref="C55">
    <cfRule type="cellIs" dxfId="71" priority="14" stopIfTrue="1" operator="greaterThan">
      <formula>$C$57*0.1</formula>
    </cfRule>
  </conditionalFormatting>
  <conditionalFormatting sqref="C57">
    <cfRule type="cellIs" dxfId="70" priority="18" stopIfTrue="1" operator="greaterThan">
      <formula>$C$59</formula>
    </cfRule>
  </conditionalFormatting>
  <conditionalFormatting sqref="D13">
    <cfRule type="cellIs" dxfId="69" priority="6" stopIfTrue="1" operator="greaterThan">
      <formula>$D$15*0.1</formula>
    </cfRule>
  </conditionalFormatting>
  <conditionalFormatting sqref="D24">
    <cfRule type="cellIs" dxfId="68" priority="9" stopIfTrue="1" operator="greaterThan">
      <formula>$D$26*0.1</formula>
    </cfRule>
  </conditionalFormatting>
  <conditionalFormatting sqref="D26">
    <cfRule type="cellIs" dxfId="67" priority="20" stopIfTrue="1" operator="greaterThan">
      <formula>$D$28</formula>
    </cfRule>
  </conditionalFormatting>
  <conditionalFormatting sqref="D27">
    <cfRule type="cellIs" dxfId="66" priority="4" stopIfTrue="1" operator="lessThan">
      <formula>0</formula>
    </cfRule>
  </conditionalFormatting>
  <conditionalFormatting sqref="D42">
    <cfRule type="cellIs" dxfId="65" priority="12" stopIfTrue="1" operator="greaterThan">
      <formula>$D$44*0.1</formula>
    </cfRule>
  </conditionalFormatting>
  <conditionalFormatting sqref="D55">
    <cfRule type="cellIs" dxfId="64" priority="15" stopIfTrue="1" operator="greaterThan">
      <formula>$D$57*0.1</formula>
    </cfRule>
  </conditionalFormatting>
  <conditionalFormatting sqref="D57">
    <cfRule type="cellIs" dxfId="63" priority="17" stopIfTrue="1" operator="greaterThan">
      <formula>$D$59</formula>
    </cfRule>
  </conditionalFormatting>
  <conditionalFormatting sqref="D58">
    <cfRule type="cellIs" dxfId="62" priority="3" stopIfTrue="1" operator="lessThan">
      <formula>0</formula>
    </cfRule>
  </conditionalFormatting>
  <conditionalFormatting sqref="E13">
    <cfRule type="cellIs" dxfId="61" priority="7" stopIfTrue="1" operator="greaterThan">
      <formula>$E$15*0.1</formula>
    </cfRule>
  </conditionalFormatting>
  <conditionalFormatting sqref="E24">
    <cfRule type="cellIs" dxfId="60" priority="10" stopIfTrue="1" operator="greaterThan">
      <formula>$E$26*0.1</formula>
    </cfRule>
  </conditionalFormatting>
  <conditionalFormatting sqref="E27:E28">
    <cfRule type="cellIs" dxfId="59" priority="2" stopIfTrue="1" operator="lessThan">
      <formula>0</formula>
    </cfRule>
  </conditionalFormatting>
  <conditionalFormatting sqref="E42">
    <cfRule type="cellIs" dxfId="58" priority="13" stopIfTrue="1" operator="greaterThan">
      <formula>$E$44*0.1</formula>
    </cfRule>
  </conditionalFormatting>
  <conditionalFormatting sqref="E55">
    <cfRule type="cellIs" dxfId="57" priority="16" stopIfTrue="1" operator="greaterThan">
      <formula>$E$57*0.1</formula>
    </cfRule>
  </conditionalFormatting>
  <conditionalFormatting sqref="E58:E59">
    <cfRule type="cellIs" dxfId="56" priority="1" stopIfTrue="1" operator="lessThan">
      <formula>0</formula>
    </cfRule>
  </conditionalFormatting>
  <pageMargins left="0.5" right="0.5" top="1" bottom="0.5" header="0.5" footer="0.5"/>
  <pageSetup scale="67" orientation="portrait" blackAndWhite="1" horizontalDpi="120" verticalDpi="144" r:id="rId1"/>
  <headerFooter alignWithMargins="0">
    <oddHeader>&amp;RState of Kansas
City</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E67"/>
  <sheetViews>
    <sheetView topLeftCell="A13" workbookViewId="0">
      <selection activeCell="F1" sqref="F1"/>
    </sheetView>
  </sheetViews>
  <sheetFormatPr defaultColWidth="8.88671875" defaultRowHeight="15.75" x14ac:dyDescent="0.2"/>
  <cols>
    <col min="1" max="1" width="2.44140625" style="26" customWidth="1"/>
    <col min="2" max="2" width="31.109375" style="26" customWidth="1"/>
    <col min="3" max="4" width="15.77734375" style="26" customWidth="1"/>
    <col min="5" max="5" width="16.33203125" style="26" customWidth="1"/>
    <col min="6" max="16384" width="8.88671875" style="26"/>
  </cols>
  <sheetData>
    <row r="1" spans="2:5" x14ac:dyDescent="0.2">
      <c r="B1" s="47" t="str">
        <f>(inputPrYr!D3)</f>
        <v>Wellsville</v>
      </c>
      <c r="C1" s="28"/>
      <c r="D1" s="28"/>
      <c r="E1" s="80">
        <f>inputPrYr!C6</f>
        <v>2024</v>
      </c>
    </row>
    <row r="2" spans="2:5" x14ac:dyDescent="0.2">
      <c r="B2" s="28"/>
      <c r="C2" s="28"/>
      <c r="D2" s="28"/>
      <c r="E2" s="107"/>
    </row>
    <row r="3" spans="2:5" x14ac:dyDescent="0.2">
      <c r="B3" s="161" t="s">
        <v>124</v>
      </c>
      <c r="C3" s="195"/>
      <c r="D3" s="195"/>
      <c r="E3" s="195"/>
    </row>
    <row r="4" spans="2:5" x14ac:dyDescent="0.2">
      <c r="B4" s="29" t="s">
        <v>59</v>
      </c>
      <c r="C4" s="442" t="s">
        <v>479</v>
      </c>
      <c r="D4" s="443" t="s">
        <v>480</v>
      </c>
      <c r="E4" s="87" t="s">
        <v>481</v>
      </c>
    </row>
    <row r="5" spans="2:5" x14ac:dyDescent="0.2">
      <c r="B5" s="332" t="str">
        <f>(inputPrYr!B37)</f>
        <v>Cemetary Perpetual Care</v>
      </c>
      <c r="C5" s="138" t="str">
        <f>CONCATENATE("Actual for ",E1-2,"")</f>
        <v>Actual for 2022</v>
      </c>
      <c r="D5" s="138" t="str">
        <f>CONCATENATE("Estimate for ",E1-1,"")</f>
        <v>Estimate for 2023</v>
      </c>
      <c r="E5" s="122" t="str">
        <f>CONCATENATE("Year for ",E1,"")</f>
        <v>Year for 2024</v>
      </c>
    </row>
    <row r="6" spans="2:5" x14ac:dyDescent="0.2">
      <c r="B6" s="163" t="s">
        <v>137</v>
      </c>
      <c r="C6" s="39"/>
      <c r="D6" s="141">
        <f>C29</f>
        <v>0</v>
      </c>
      <c r="E6" s="141">
        <f>D29</f>
        <v>0</v>
      </c>
    </row>
    <row r="7" spans="2:5" x14ac:dyDescent="0.2">
      <c r="B7" s="167" t="s">
        <v>139</v>
      </c>
      <c r="C7" s="52"/>
      <c r="D7" s="52"/>
      <c r="E7" s="52"/>
    </row>
    <row r="8" spans="2:5" x14ac:dyDescent="0.2">
      <c r="B8" s="183"/>
      <c r="C8" s="39"/>
      <c r="D8" s="39"/>
      <c r="E8" s="39"/>
    </row>
    <row r="9" spans="2:5" x14ac:dyDescent="0.2">
      <c r="B9" s="183"/>
      <c r="C9" s="39"/>
      <c r="D9" s="39"/>
      <c r="E9" s="39"/>
    </row>
    <row r="10" spans="2:5" x14ac:dyDescent="0.2">
      <c r="B10" s="183"/>
      <c r="C10" s="39"/>
      <c r="D10" s="39"/>
      <c r="E10" s="39"/>
    </row>
    <row r="11" spans="2:5" x14ac:dyDescent="0.2">
      <c r="B11" s="183"/>
      <c r="C11" s="39"/>
      <c r="D11" s="39"/>
      <c r="E11" s="39"/>
    </row>
    <row r="12" spans="2:5" x14ac:dyDescent="0.2">
      <c r="B12" s="172" t="s">
        <v>67</v>
      </c>
      <c r="C12" s="39"/>
      <c r="D12" s="39"/>
      <c r="E12" s="39"/>
    </row>
    <row r="13" spans="2:5" x14ac:dyDescent="0.2">
      <c r="B13" s="102" t="s">
        <v>9</v>
      </c>
      <c r="C13" s="39"/>
      <c r="D13" s="169"/>
      <c r="E13" s="169"/>
    </row>
    <row r="14" spans="2:5" x14ac:dyDescent="0.2">
      <c r="B14" s="163" t="s">
        <v>352</v>
      </c>
      <c r="C14" s="204" t="str">
        <f>IF(C15*0.1&lt;C13,"Exceed 10% Rule","")</f>
        <v/>
      </c>
      <c r="D14" s="174" t="str">
        <f>IF(D15*0.1&lt;D13,"Exceed 10% Rule","")</f>
        <v/>
      </c>
      <c r="E14" s="174" t="str">
        <f>IF(E15*0.1&lt;E13,"Exceed 10% Rule","")</f>
        <v/>
      </c>
    </row>
    <row r="15" spans="2:5" x14ac:dyDescent="0.2">
      <c r="B15" s="175" t="s">
        <v>68</v>
      </c>
      <c r="C15" s="178">
        <f>SUM(C8:C13)</f>
        <v>0</v>
      </c>
      <c r="D15" s="178">
        <f>SUM(D8:D13)</f>
        <v>0</v>
      </c>
      <c r="E15" s="178">
        <f>SUM(E8:E13)</f>
        <v>0</v>
      </c>
    </row>
    <row r="16" spans="2:5" x14ac:dyDescent="0.2">
      <c r="B16" s="175" t="s">
        <v>69</v>
      </c>
      <c r="C16" s="178">
        <f>C6+C15</f>
        <v>0</v>
      </c>
      <c r="D16" s="178">
        <f>D6+D15</f>
        <v>0</v>
      </c>
      <c r="E16" s="178">
        <f>E6+E15</f>
        <v>0</v>
      </c>
    </row>
    <row r="17" spans="2:5" x14ac:dyDescent="0.2">
      <c r="B17" s="93" t="s">
        <v>71</v>
      </c>
      <c r="C17" s="141"/>
      <c r="D17" s="141"/>
      <c r="E17" s="141"/>
    </row>
    <row r="18" spans="2:5" x14ac:dyDescent="0.2">
      <c r="B18" s="183"/>
      <c r="C18" s="39"/>
      <c r="D18" s="39"/>
      <c r="E18" s="39"/>
    </row>
    <row r="19" spans="2:5" x14ac:dyDescent="0.2">
      <c r="B19" s="183"/>
      <c r="C19" s="39"/>
      <c r="D19" s="39"/>
      <c r="E19" s="39"/>
    </row>
    <row r="20" spans="2:5" x14ac:dyDescent="0.2">
      <c r="B20" s="183"/>
      <c r="C20" s="39"/>
      <c r="D20" s="39"/>
      <c r="E20" s="39"/>
    </row>
    <row r="21" spans="2:5" x14ac:dyDescent="0.2">
      <c r="B21" s="183"/>
      <c r="C21" s="39"/>
      <c r="D21" s="39"/>
      <c r="E21" s="39"/>
    </row>
    <row r="22" spans="2:5" x14ac:dyDescent="0.2">
      <c r="B22" s="183"/>
      <c r="C22" s="39"/>
      <c r="D22" s="39"/>
      <c r="E22" s="39"/>
    </row>
    <row r="23" spans="2:5" x14ac:dyDescent="0.2">
      <c r="B23" s="183"/>
      <c r="C23" s="39"/>
      <c r="D23" s="39"/>
      <c r="E23" s="39"/>
    </row>
    <row r="24" spans="2:5" x14ac:dyDescent="0.2">
      <c r="B24" s="183"/>
      <c r="C24" s="39"/>
      <c r="D24" s="39"/>
      <c r="E24" s="39"/>
    </row>
    <row r="25" spans="2:5" x14ac:dyDescent="0.2">
      <c r="B25" s="184" t="str">
        <f>CONCATENATE("Cash Forward (",E1," column)")</f>
        <v>Cash Forward (2024 column)</v>
      </c>
      <c r="C25" s="39"/>
      <c r="D25" s="39"/>
      <c r="E25" s="39"/>
    </row>
    <row r="26" spans="2:5" x14ac:dyDescent="0.2">
      <c r="B26" s="184" t="s">
        <v>9</v>
      </c>
      <c r="C26" s="39"/>
      <c r="D26" s="169"/>
      <c r="E26" s="169"/>
    </row>
    <row r="27" spans="2:5" x14ac:dyDescent="0.2">
      <c r="B27" s="184" t="s">
        <v>353</v>
      </c>
      <c r="C27" s="204" t="str">
        <f>IF(C28*0.1&lt;C26,"Exceed 10% Rule","")</f>
        <v/>
      </c>
      <c r="D27" s="174" t="str">
        <f>IF(D28*0.1&lt;D26,"Exceed 10% Rule","")</f>
        <v/>
      </c>
      <c r="E27" s="174" t="str">
        <f>IF(E28*0.1&lt;E26,"Exceed 10% Rule","")</f>
        <v/>
      </c>
    </row>
    <row r="28" spans="2:5" x14ac:dyDescent="0.2">
      <c r="B28" s="175" t="s">
        <v>75</v>
      </c>
      <c r="C28" s="178">
        <f>SUM(C18:C26)</f>
        <v>0</v>
      </c>
      <c r="D28" s="178">
        <f>SUM(D18:D26)</f>
        <v>0</v>
      </c>
      <c r="E28" s="178">
        <f>SUM(E18:E26)</f>
        <v>0</v>
      </c>
    </row>
    <row r="29" spans="2:5" x14ac:dyDescent="0.2">
      <c r="B29" s="93" t="s">
        <v>138</v>
      </c>
      <c r="C29" s="50">
        <f>C16-C28</f>
        <v>0</v>
      </c>
      <c r="D29" s="50">
        <f>D16-D28</f>
        <v>0</v>
      </c>
      <c r="E29" s="50">
        <f>E16-E28</f>
        <v>0</v>
      </c>
    </row>
    <row r="30" spans="2:5" x14ac:dyDescent="0.2">
      <c r="B30" s="108" t="str">
        <f>CONCATENATE("",E1-2,"/",E1-1,"/",E1," Budget Authority Amount:")</f>
        <v>2022/2023/2024 Budget Authority Amount:</v>
      </c>
      <c r="C30" s="446">
        <f>inputOth!B80</f>
        <v>5000</v>
      </c>
      <c r="D30" s="446">
        <f>inputPrYr!D37</f>
        <v>5000</v>
      </c>
      <c r="E30" s="458">
        <f>E28</f>
        <v>0</v>
      </c>
    </row>
    <row r="31" spans="2:5" x14ac:dyDescent="0.2">
      <c r="B31" s="80"/>
      <c r="C31" s="186" t="str">
        <f>IF(C28&gt;C30,"See Tab A","")</f>
        <v/>
      </c>
      <c r="D31" s="186" t="str">
        <f>IF(D28&gt;D30,"See Tab C","")</f>
        <v/>
      </c>
      <c r="E31" s="459" t="str">
        <f>IF(E29&lt;0,"See Tab E","")</f>
        <v/>
      </c>
    </row>
    <row r="32" spans="2:5" x14ac:dyDescent="0.2">
      <c r="B32" s="80"/>
      <c r="C32" s="186" t="str">
        <f>IF(C29&lt;0,"See Tab B","")</f>
        <v/>
      </c>
      <c r="D32" s="186" t="str">
        <f>IF(D29&lt;0,"See Tab D","")</f>
        <v/>
      </c>
      <c r="E32" s="56"/>
    </row>
    <row r="33" spans="2:5" x14ac:dyDescent="0.2">
      <c r="B33" s="28"/>
      <c r="C33" s="56"/>
      <c r="D33" s="56"/>
      <c r="E33" s="56"/>
    </row>
    <row r="34" spans="2:5" x14ac:dyDescent="0.2">
      <c r="B34" s="29" t="s">
        <v>59</v>
      </c>
      <c r="C34" s="200"/>
      <c r="D34" s="200"/>
      <c r="E34" s="200"/>
    </row>
    <row r="35" spans="2:5" x14ac:dyDescent="0.2">
      <c r="B35" s="28"/>
      <c r="C35" s="442" t="s">
        <v>479</v>
      </c>
      <c r="D35" s="443" t="s">
        <v>480</v>
      </c>
      <c r="E35" s="87" t="s">
        <v>481</v>
      </c>
    </row>
    <row r="36" spans="2:5" x14ac:dyDescent="0.2">
      <c r="B36" s="332">
        <f>(inputPrYr!B38)</f>
        <v>0</v>
      </c>
      <c r="C36" s="138" t="str">
        <f>CONCATENATE("Actual for ",$E$1-2,"")</f>
        <v>Actual for 2022</v>
      </c>
      <c r="D36" s="138" t="str">
        <f>CONCATENATE("Estimate for ",$E$1-1,"")</f>
        <v>Estimate for 2023</v>
      </c>
      <c r="E36" s="122" t="str">
        <f>CONCATENATE("Year for ",$E$1,"")</f>
        <v>Year for 2024</v>
      </c>
    </row>
    <row r="37" spans="2:5" x14ac:dyDescent="0.2">
      <c r="B37" s="163" t="s">
        <v>137</v>
      </c>
      <c r="C37" s="39"/>
      <c r="D37" s="141">
        <f>C58</f>
        <v>0</v>
      </c>
      <c r="E37" s="141">
        <f>D58</f>
        <v>0</v>
      </c>
    </row>
    <row r="38" spans="2:5" x14ac:dyDescent="0.2">
      <c r="B38" s="167" t="s">
        <v>139</v>
      </c>
      <c r="C38" s="52"/>
      <c r="D38" s="52"/>
      <c r="E38" s="52"/>
    </row>
    <row r="39" spans="2:5" x14ac:dyDescent="0.2">
      <c r="B39" s="183"/>
      <c r="C39" s="39"/>
      <c r="D39" s="39"/>
      <c r="E39" s="39"/>
    </row>
    <row r="40" spans="2:5" x14ac:dyDescent="0.2">
      <c r="B40" s="183"/>
      <c r="C40" s="39"/>
      <c r="D40" s="39"/>
      <c r="E40" s="39"/>
    </row>
    <row r="41" spans="2:5" x14ac:dyDescent="0.2">
      <c r="B41" s="183"/>
      <c r="C41" s="39"/>
      <c r="D41" s="39"/>
      <c r="E41" s="39"/>
    </row>
    <row r="42" spans="2:5" x14ac:dyDescent="0.2">
      <c r="B42" s="183"/>
      <c r="C42" s="39"/>
      <c r="D42" s="39"/>
      <c r="E42" s="39"/>
    </row>
    <row r="43" spans="2:5" x14ac:dyDescent="0.2">
      <c r="B43" s="172" t="s">
        <v>67</v>
      </c>
      <c r="C43" s="39"/>
      <c r="D43" s="39"/>
      <c r="E43" s="39"/>
    </row>
    <row r="44" spans="2:5" x14ac:dyDescent="0.2">
      <c r="B44" s="102" t="s">
        <v>9</v>
      </c>
      <c r="C44" s="39"/>
      <c r="D44" s="169"/>
      <c r="E44" s="169"/>
    </row>
    <row r="45" spans="2:5" x14ac:dyDescent="0.2">
      <c r="B45" s="163" t="s">
        <v>352</v>
      </c>
      <c r="C45" s="204" t="str">
        <f>IF(C46*0.1&lt;C44,"Exceed 10% Rule","")</f>
        <v/>
      </c>
      <c r="D45" s="174" t="str">
        <f>IF(D46*0.1&lt;D44,"Exceed 10% Rule","")</f>
        <v/>
      </c>
      <c r="E45" s="174" t="str">
        <f>IF(E46*0.1&lt;E44,"Exceed 10% Rule","")</f>
        <v/>
      </c>
    </row>
    <row r="46" spans="2:5" x14ac:dyDescent="0.2">
      <c r="B46" s="175" t="s">
        <v>68</v>
      </c>
      <c r="C46" s="178">
        <f>SUM(C39:C44)</f>
        <v>0</v>
      </c>
      <c r="D46" s="178">
        <f>SUM(D39:D44)</f>
        <v>0</v>
      </c>
      <c r="E46" s="178">
        <f>SUM(E39:E44)</f>
        <v>0</v>
      </c>
    </row>
    <row r="47" spans="2:5" x14ac:dyDescent="0.2">
      <c r="B47" s="175" t="s">
        <v>69</v>
      </c>
      <c r="C47" s="178">
        <f>C37+C46</f>
        <v>0</v>
      </c>
      <c r="D47" s="178">
        <f>D37+D46</f>
        <v>0</v>
      </c>
      <c r="E47" s="178">
        <f>E37+E46</f>
        <v>0</v>
      </c>
    </row>
    <row r="48" spans="2:5" x14ac:dyDescent="0.2">
      <c r="B48" s="93" t="s">
        <v>71</v>
      </c>
      <c r="C48" s="141"/>
      <c r="D48" s="141"/>
      <c r="E48" s="141"/>
    </row>
    <row r="49" spans="2:5" x14ac:dyDescent="0.2">
      <c r="B49" s="183"/>
      <c r="C49" s="39"/>
      <c r="D49" s="39"/>
      <c r="E49" s="39"/>
    </row>
    <row r="50" spans="2:5" x14ac:dyDescent="0.2">
      <c r="B50" s="183"/>
      <c r="C50" s="39"/>
      <c r="D50" s="39"/>
      <c r="E50" s="39"/>
    </row>
    <row r="51" spans="2:5" x14ac:dyDescent="0.2">
      <c r="B51" s="183"/>
      <c r="C51" s="39"/>
      <c r="D51" s="39"/>
      <c r="E51" s="39"/>
    </row>
    <row r="52" spans="2:5" x14ac:dyDescent="0.2">
      <c r="B52" s="183"/>
      <c r="C52" s="39"/>
      <c r="D52" s="39"/>
      <c r="E52" s="39"/>
    </row>
    <row r="53" spans="2:5" x14ac:dyDescent="0.2">
      <c r="B53" s="183"/>
      <c r="C53" s="39"/>
      <c r="D53" s="39"/>
      <c r="E53" s="39"/>
    </row>
    <row r="54" spans="2:5" x14ac:dyDescent="0.2">
      <c r="B54" s="184" t="str">
        <f>CONCATENATE("Cash Forward (",E1," column)")</f>
        <v>Cash Forward (2024 column)</v>
      </c>
      <c r="C54" s="39"/>
      <c r="D54" s="39"/>
      <c r="E54" s="39"/>
    </row>
    <row r="55" spans="2:5" x14ac:dyDescent="0.2">
      <c r="B55" s="184" t="s">
        <v>9</v>
      </c>
      <c r="C55" s="39"/>
      <c r="D55" s="169"/>
      <c r="E55" s="169"/>
    </row>
    <row r="56" spans="2:5" x14ac:dyDescent="0.2">
      <c r="B56" s="184" t="s">
        <v>353</v>
      </c>
      <c r="C56" s="204" t="str">
        <f>IF(C57*0.1&lt;C55,"Exceed 10% Rule","")</f>
        <v/>
      </c>
      <c r="D56" s="174" t="str">
        <f>IF(D57*0.1&lt;D55,"Exceed 10% Rule","")</f>
        <v/>
      </c>
      <c r="E56" s="174" t="str">
        <f>IF(E57*0.1&lt;E55,"Exceed 10% Rule","")</f>
        <v/>
      </c>
    </row>
    <row r="57" spans="2:5" x14ac:dyDescent="0.2">
      <c r="B57" s="175" t="s">
        <v>75</v>
      </c>
      <c r="C57" s="178">
        <f>SUM(C49:C55)</f>
        <v>0</v>
      </c>
      <c r="D57" s="178">
        <f>SUM(D49:D55)</f>
        <v>0</v>
      </c>
      <c r="E57" s="178">
        <f>SUM(E49:E55)</f>
        <v>0</v>
      </c>
    </row>
    <row r="58" spans="2:5" x14ac:dyDescent="0.2">
      <c r="B58" s="93" t="s">
        <v>138</v>
      </c>
      <c r="C58" s="50">
        <f>C47-C57</f>
        <v>0</v>
      </c>
      <c r="D58" s="50">
        <f>D47-D57</f>
        <v>0</v>
      </c>
      <c r="E58" s="50">
        <f>E47-E57</f>
        <v>0</v>
      </c>
    </row>
    <row r="59" spans="2:5" x14ac:dyDescent="0.2">
      <c r="B59" s="108" t="str">
        <f>CONCATENATE("",E1-2,"/",E1-1,"/",E1," Budget Authority Amount:")</f>
        <v>2022/2023/2024 Budget Authority Amount:</v>
      </c>
      <c r="C59" s="446">
        <f>inputOth!B81</f>
        <v>0</v>
      </c>
      <c r="D59" s="446">
        <f>inputPrYr!D38</f>
        <v>0</v>
      </c>
      <c r="E59" s="458">
        <f>E57</f>
        <v>0</v>
      </c>
    </row>
    <row r="60" spans="2:5" x14ac:dyDescent="0.2">
      <c r="B60" s="80"/>
      <c r="C60" s="186" t="str">
        <f>IF(C57&gt;C59,"See Tab A","")</f>
        <v/>
      </c>
      <c r="D60" s="186" t="str">
        <f>IF(D57&gt;D59,"See Tab C","")</f>
        <v/>
      </c>
      <c r="E60" s="459" t="str">
        <f>IF(E58&lt;0,"See Tab E","")</f>
        <v/>
      </c>
    </row>
    <row r="61" spans="2:5" x14ac:dyDescent="0.2">
      <c r="B61" s="539" t="s">
        <v>539</v>
      </c>
      <c r="C61" s="528" t="str">
        <f>IF(C58&lt;0,"See Tab B","")</f>
        <v/>
      </c>
      <c r="D61" s="528" t="str">
        <f>IF(D58&lt;0,"See Tab D","")</f>
        <v/>
      </c>
      <c r="E61" s="511"/>
    </row>
    <row r="62" spans="2:5" x14ac:dyDescent="0.2">
      <c r="B62" s="529"/>
      <c r="C62" s="186"/>
      <c r="D62" s="186"/>
      <c r="E62" s="403"/>
    </row>
    <row r="63" spans="2:5" x14ac:dyDescent="0.2">
      <c r="B63" s="530"/>
      <c r="C63" s="531"/>
      <c r="D63" s="531"/>
      <c r="E63" s="49"/>
    </row>
    <row r="64" spans="2:5" x14ac:dyDescent="0.2">
      <c r="B64" s="28"/>
      <c r="C64" s="28"/>
      <c r="D64" s="28"/>
      <c r="E64" s="28"/>
    </row>
    <row r="65" spans="2:5" x14ac:dyDescent="0.2">
      <c r="B65" s="272" t="s">
        <v>78</v>
      </c>
      <c r="C65" s="464"/>
      <c r="D65" s="28"/>
      <c r="E65" s="28"/>
    </row>
    <row r="67" spans="2:5" x14ac:dyDescent="0.2">
      <c r="B67" s="540"/>
    </row>
  </sheetData>
  <sheetProtection sheet="1" objects="1" scenarios="1"/>
  <phoneticPr fontId="0" type="noConversion"/>
  <conditionalFormatting sqref="C13">
    <cfRule type="cellIs" dxfId="55" priority="5" stopIfTrue="1" operator="greaterThan">
      <formula>$C$15*0.1</formula>
    </cfRule>
  </conditionalFormatting>
  <conditionalFormatting sqref="C26">
    <cfRule type="cellIs" dxfId="54" priority="8" stopIfTrue="1" operator="greaterThan">
      <formula>$C$28*0.1</formula>
    </cfRule>
  </conditionalFormatting>
  <conditionalFormatting sqref="C28">
    <cfRule type="cellIs" dxfId="53" priority="21" stopIfTrue="1" operator="greaterThan">
      <formula>$C$30</formula>
    </cfRule>
  </conditionalFormatting>
  <conditionalFormatting sqref="C29 C58">
    <cfRule type="cellIs" dxfId="52" priority="19" stopIfTrue="1" operator="lessThan">
      <formula>0</formula>
    </cfRule>
  </conditionalFormatting>
  <conditionalFormatting sqref="C44">
    <cfRule type="cellIs" dxfId="51" priority="11" stopIfTrue="1" operator="greaterThan">
      <formula>$C$46*0.1</formula>
    </cfRule>
  </conditionalFormatting>
  <conditionalFormatting sqref="C55">
    <cfRule type="cellIs" dxfId="50" priority="14" stopIfTrue="1" operator="greaterThan">
      <formula>$C$57*0.1</formula>
    </cfRule>
  </conditionalFormatting>
  <conditionalFormatting sqref="C57">
    <cfRule type="cellIs" dxfId="49" priority="18" stopIfTrue="1" operator="greaterThan">
      <formula>$C$59</formula>
    </cfRule>
  </conditionalFormatting>
  <conditionalFormatting sqref="D13">
    <cfRule type="cellIs" dxfId="48" priority="6" stopIfTrue="1" operator="greaterThan">
      <formula>$D$15*0.1</formula>
    </cfRule>
  </conditionalFormatting>
  <conditionalFormatting sqref="D26">
    <cfRule type="cellIs" dxfId="47" priority="9" stopIfTrue="1" operator="greaterThan">
      <formula>$D$28*0.1</formula>
    </cfRule>
  </conditionalFormatting>
  <conditionalFormatting sqref="D28">
    <cfRule type="cellIs" dxfId="46" priority="20" stopIfTrue="1" operator="greaterThan">
      <formula>$D$30</formula>
    </cfRule>
  </conditionalFormatting>
  <conditionalFormatting sqref="D29">
    <cfRule type="cellIs" dxfId="45" priority="3" stopIfTrue="1" operator="lessThan">
      <formula>0</formula>
    </cfRule>
  </conditionalFormatting>
  <conditionalFormatting sqref="D44">
    <cfRule type="cellIs" dxfId="44" priority="12" stopIfTrue="1" operator="greaterThan">
      <formula>$D$46*0.1</formula>
    </cfRule>
  </conditionalFormatting>
  <conditionalFormatting sqref="D55">
    <cfRule type="cellIs" dxfId="43" priority="15" stopIfTrue="1" operator="greaterThan">
      <formula>$D$57*0.1</formula>
    </cfRule>
  </conditionalFormatting>
  <conditionalFormatting sqref="D57">
    <cfRule type="cellIs" dxfId="42" priority="17" stopIfTrue="1" operator="greaterThan">
      <formula>$D$59</formula>
    </cfRule>
  </conditionalFormatting>
  <conditionalFormatting sqref="D58">
    <cfRule type="cellIs" dxfId="41" priority="4" stopIfTrue="1" operator="lessThan">
      <formula>0</formula>
    </cfRule>
  </conditionalFormatting>
  <conditionalFormatting sqref="E13">
    <cfRule type="cellIs" dxfId="40" priority="7" stopIfTrue="1" operator="greaterThan">
      <formula>$E$15*0.1</formula>
    </cfRule>
  </conditionalFormatting>
  <conditionalFormatting sqref="E26">
    <cfRule type="cellIs" dxfId="39" priority="10" stopIfTrue="1" operator="greaterThan">
      <formula>$E$28*0.1</formula>
    </cfRule>
  </conditionalFormatting>
  <conditionalFormatting sqref="E29:E30">
    <cfRule type="cellIs" dxfId="38" priority="2" stopIfTrue="1" operator="lessThan">
      <formula>0</formula>
    </cfRule>
  </conditionalFormatting>
  <conditionalFormatting sqref="E44">
    <cfRule type="cellIs" dxfId="37" priority="13" stopIfTrue="1" operator="greaterThan">
      <formula>$E$46*0.1</formula>
    </cfRule>
  </conditionalFormatting>
  <conditionalFormatting sqref="E55">
    <cfRule type="cellIs" dxfId="36" priority="16" stopIfTrue="1" operator="greaterThan">
      <formula>$E$57*0.1</formula>
    </cfRule>
  </conditionalFormatting>
  <conditionalFormatting sqref="E58:E59">
    <cfRule type="cellIs" dxfId="35" priority="1" stopIfTrue="1" operator="lessThan">
      <formula>0</formula>
    </cfRule>
  </conditionalFormatting>
  <pageMargins left="0.5" right="0.5" top="1" bottom="0.5" header="0.5" footer="0.5"/>
  <pageSetup scale="67" orientation="portrait" blackAndWhite="1" horizontalDpi="120" verticalDpi="144" r:id="rId1"/>
  <headerFooter alignWithMargins="0">
    <oddHeader>&amp;RState of Kansas
City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topLeftCell="A7" workbookViewId="0">
      <selection activeCell="D23" sqref="D23"/>
    </sheetView>
  </sheetViews>
  <sheetFormatPr defaultColWidth="8.88671875" defaultRowHeight="15.75" x14ac:dyDescent="0.2"/>
  <cols>
    <col min="1" max="1" width="15.77734375" style="26" customWidth="1"/>
    <col min="2" max="2" width="20.77734375" style="26" customWidth="1"/>
    <col min="3" max="3" width="9.77734375" style="26" customWidth="1"/>
    <col min="4" max="4" width="15.109375" style="26" customWidth="1"/>
    <col min="5" max="5" width="15.77734375" style="26" customWidth="1"/>
    <col min="6" max="6" width="1.88671875" style="26" customWidth="1"/>
    <col min="7" max="7" width="18.6640625" style="26" customWidth="1"/>
    <col min="8" max="16384" width="8.88671875" style="26"/>
  </cols>
  <sheetData>
    <row r="1" spans="1:8" x14ac:dyDescent="0.2">
      <c r="A1" s="635" t="s">
        <v>509</v>
      </c>
      <c r="B1" s="636"/>
      <c r="C1" s="636"/>
      <c r="D1" s="636"/>
      <c r="E1" s="636"/>
    </row>
    <row r="2" spans="1:8" x14ac:dyDescent="0.2">
      <c r="A2" s="29"/>
      <c r="B2" s="28"/>
      <c r="C2" s="28"/>
      <c r="D2" s="30"/>
      <c r="E2" s="28"/>
    </row>
    <row r="3" spans="1:8" x14ac:dyDescent="0.2">
      <c r="A3" s="465" t="s">
        <v>510</v>
      </c>
      <c r="B3" s="28"/>
      <c r="C3" s="28"/>
      <c r="D3" s="644" t="s">
        <v>974</v>
      </c>
      <c r="E3" s="645"/>
    </row>
    <row r="4" spans="1:8" x14ac:dyDescent="0.2">
      <c r="A4" s="465" t="s">
        <v>511</v>
      </c>
      <c r="B4" s="28"/>
      <c r="C4" s="28"/>
      <c r="D4" s="644" t="s">
        <v>975</v>
      </c>
      <c r="E4" s="645"/>
    </row>
    <row r="5" spans="1:8" x14ac:dyDescent="0.2">
      <c r="A5" s="466"/>
      <c r="B5" s="28"/>
      <c r="C5" s="28"/>
      <c r="D5" s="30"/>
      <c r="E5" s="28"/>
    </row>
    <row r="6" spans="1:8" x14ac:dyDescent="0.2">
      <c r="A6" s="465" t="s">
        <v>512</v>
      </c>
      <c r="B6" s="28"/>
      <c r="C6" s="31">
        <v>2024</v>
      </c>
      <c r="D6" s="30"/>
      <c r="E6" s="28"/>
    </row>
    <row r="7" spans="1:8" x14ac:dyDescent="0.2">
      <c r="A7" s="465"/>
      <c r="B7" s="28"/>
      <c r="C7" s="28"/>
      <c r="D7" s="30"/>
      <c r="E7" s="28"/>
    </row>
    <row r="8" spans="1:8" x14ac:dyDescent="0.2">
      <c r="A8" s="637" t="s">
        <v>513</v>
      </c>
      <c r="B8" s="637"/>
      <c r="C8" s="637"/>
      <c r="D8" s="637"/>
      <c r="E8" s="637"/>
    </row>
    <row r="9" spans="1:8" x14ac:dyDescent="0.2">
      <c r="A9" s="637"/>
      <c r="B9" s="637"/>
      <c r="C9" s="637"/>
      <c r="D9" s="637"/>
      <c r="E9" s="637"/>
    </row>
    <row r="10" spans="1:8" x14ac:dyDescent="0.2">
      <c r="A10" s="637"/>
      <c r="B10" s="637"/>
      <c r="C10" s="637"/>
      <c r="D10" s="637"/>
      <c r="E10" s="637"/>
    </row>
    <row r="11" spans="1:8" x14ac:dyDescent="0.2">
      <c r="A11" s="633" t="s">
        <v>515</v>
      </c>
      <c r="B11" s="634"/>
      <c r="C11" s="634"/>
      <c r="D11" s="634"/>
      <c r="E11" s="634"/>
    </row>
    <row r="12" spans="1:8" x14ac:dyDescent="0.2">
      <c r="A12" s="28"/>
      <c r="B12" s="28"/>
      <c r="C12" s="28"/>
      <c r="D12" s="28"/>
      <c r="E12" s="28"/>
    </row>
    <row r="13" spans="1:8" ht="15.75" customHeight="1" x14ac:dyDescent="0.2">
      <c r="A13" s="468" t="s">
        <v>212</v>
      </c>
      <c r="B13" s="469"/>
      <c r="C13" s="28"/>
      <c r="D13" s="28"/>
      <c r="E13" s="28"/>
      <c r="F13" s="28"/>
      <c r="G13" s="638" t="s">
        <v>514</v>
      </c>
      <c r="H13" s="639"/>
    </row>
    <row r="14" spans="1:8" x14ac:dyDescent="0.2">
      <c r="A14" s="470" t="str">
        <f>CONCATENATE("the ",C6-1," Budget, Certificate Page:")</f>
        <v>the 2023 Budget, Certificate Page:</v>
      </c>
      <c r="B14" s="471"/>
      <c r="C14" s="28"/>
      <c r="D14" s="28"/>
      <c r="E14" s="28"/>
      <c r="F14" s="28"/>
      <c r="G14" s="640"/>
      <c r="H14" s="641"/>
    </row>
    <row r="15" spans="1:8" x14ac:dyDescent="0.2">
      <c r="A15" s="472" t="s">
        <v>263</v>
      </c>
      <c r="B15" s="473"/>
      <c r="C15" s="28"/>
      <c r="D15" s="28"/>
      <c r="E15" s="28"/>
      <c r="F15" s="28"/>
      <c r="G15" s="640"/>
      <c r="H15" s="641"/>
    </row>
    <row r="16" spans="1:8" x14ac:dyDescent="0.2">
      <c r="A16" s="28"/>
      <c r="B16" s="28"/>
      <c r="C16" s="28"/>
      <c r="D16" s="34">
        <f>C6-1</f>
        <v>2023</v>
      </c>
      <c r="E16" s="34">
        <f>C6-2</f>
        <v>2022</v>
      </c>
      <c r="F16" s="28"/>
      <c r="G16" s="640"/>
      <c r="H16" s="641"/>
    </row>
    <row r="17" spans="1:8" x14ac:dyDescent="0.2">
      <c r="A17" s="29" t="s">
        <v>31</v>
      </c>
      <c r="B17" s="28"/>
      <c r="C17" s="35" t="s">
        <v>32</v>
      </c>
      <c r="D17" s="36" t="s">
        <v>262</v>
      </c>
      <c r="E17" s="36" t="s">
        <v>29</v>
      </c>
      <c r="F17" s="28"/>
      <c r="G17" s="640"/>
      <c r="H17" s="641"/>
    </row>
    <row r="18" spans="1:8" x14ac:dyDescent="0.2">
      <c r="A18" s="28"/>
      <c r="B18" s="37" t="s">
        <v>33</v>
      </c>
      <c r="C18" s="99" t="s">
        <v>140</v>
      </c>
      <c r="D18" s="501">
        <v>1367267</v>
      </c>
      <c r="E18" s="501">
        <v>771791</v>
      </c>
      <c r="F18" s="28"/>
      <c r="G18" s="640"/>
      <c r="H18" s="641"/>
    </row>
    <row r="19" spans="1:8" x14ac:dyDescent="0.2">
      <c r="A19" s="28"/>
      <c r="B19" s="37" t="s">
        <v>16</v>
      </c>
      <c r="C19" s="99" t="s">
        <v>164</v>
      </c>
      <c r="D19" s="501">
        <v>45000</v>
      </c>
      <c r="E19" s="501">
        <v>45021</v>
      </c>
      <c r="F19" s="28"/>
      <c r="G19" s="642"/>
      <c r="H19" s="643"/>
    </row>
    <row r="20" spans="1:8" x14ac:dyDescent="0.2">
      <c r="A20" s="28"/>
      <c r="B20" s="37" t="s">
        <v>418</v>
      </c>
      <c r="C20" s="99" t="s">
        <v>419</v>
      </c>
      <c r="D20" s="39">
        <v>99787</v>
      </c>
      <c r="E20" s="501">
        <v>92374</v>
      </c>
      <c r="F20" s="467"/>
      <c r="G20" s="114" t="s">
        <v>417</v>
      </c>
      <c r="H20" s="99" t="s">
        <v>77</v>
      </c>
    </row>
    <row r="21" spans="1:8" x14ac:dyDescent="0.2">
      <c r="A21" s="29" t="s">
        <v>34</v>
      </c>
      <c r="B21" s="28"/>
      <c r="C21" s="28"/>
      <c r="D21" s="28"/>
      <c r="E21" s="502"/>
      <c r="F21" s="467"/>
      <c r="G21" s="92" t="str">
        <f>CONCATENATE("",E16," Ad Valorem Tax")</f>
        <v>2022 Ad Valorem Tax</v>
      </c>
      <c r="H21" s="367">
        <v>0</v>
      </c>
    </row>
    <row r="22" spans="1:8" x14ac:dyDescent="0.2">
      <c r="A22" s="28"/>
      <c r="B22" s="510" t="s">
        <v>11</v>
      </c>
      <c r="C22" s="254" t="s">
        <v>976</v>
      </c>
      <c r="D22" s="501">
        <v>130000</v>
      </c>
      <c r="E22" s="501">
        <v>112256</v>
      </c>
      <c r="F22" s="467"/>
      <c r="G22" s="141">
        <f>IF(H21&gt;0,ROUND(E18-(E18*H21),0),0)</f>
        <v>0</v>
      </c>
    </row>
    <row r="23" spans="1:8" x14ac:dyDescent="0.2">
      <c r="A23" s="28"/>
      <c r="B23" s="509" t="s">
        <v>977</v>
      </c>
      <c r="C23" s="254" t="s">
        <v>976</v>
      </c>
      <c r="D23" s="39">
        <v>8600</v>
      </c>
      <c r="E23" s="501">
        <v>7869</v>
      </c>
      <c r="F23" s="467"/>
      <c r="G23" s="141">
        <f>IF(H21&gt;0,ROUND(E19-(E19*H21),0),0)</f>
        <v>0</v>
      </c>
    </row>
    <row r="24" spans="1:8" x14ac:dyDescent="0.2">
      <c r="A24" s="28"/>
      <c r="B24" s="509" t="s">
        <v>978</v>
      </c>
      <c r="C24" s="254" t="s">
        <v>979</v>
      </c>
      <c r="D24" s="39">
        <v>40000</v>
      </c>
      <c r="E24" s="501">
        <v>33814</v>
      </c>
      <c r="F24" s="467"/>
      <c r="G24" s="141">
        <f>IF(H21&gt;0,ROUND(E20-(E20*H21),0),0)</f>
        <v>0</v>
      </c>
    </row>
    <row r="25" spans="1:8" x14ac:dyDescent="0.2">
      <c r="A25" s="28"/>
      <c r="B25" s="509"/>
      <c r="C25" s="254"/>
      <c r="D25" s="39"/>
      <c r="E25" s="501"/>
      <c r="F25" s="467"/>
      <c r="G25" s="40"/>
    </row>
    <row r="26" spans="1:8" x14ac:dyDescent="0.2">
      <c r="A26" s="28"/>
      <c r="B26" s="509"/>
      <c r="C26" s="254"/>
      <c r="D26" s="39"/>
      <c r="E26" s="501"/>
      <c r="F26" s="467"/>
      <c r="G26" s="141">
        <f>IF(H21&gt;0,ROUND(E22-(E22*H21),0),0)</f>
        <v>0</v>
      </c>
    </row>
    <row r="27" spans="1:8" x14ac:dyDescent="0.2">
      <c r="A27" s="28"/>
      <c r="B27" s="509"/>
      <c r="C27" s="254"/>
      <c r="D27" s="39"/>
      <c r="E27" s="501"/>
      <c r="F27" s="467"/>
      <c r="G27" s="141">
        <f>IF(H21&gt;0,ROUND(E23-(E23*H21),0),0)</f>
        <v>0</v>
      </c>
    </row>
    <row r="28" spans="1:8" x14ac:dyDescent="0.2">
      <c r="A28" s="28"/>
      <c r="B28" s="509"/>
      <c r="C28" s="254"/>
      <c r="D28" s="39"/>
      <c r="E28" s="501"/>
      <c r="F28" s="467"/>
      <c r="G28" s="141">
        <f>IF(H21&gt;0,ROUND(E24-(E24*H21),0),0)</f>
        <v>0</v>
      </c>
    </row>
    <row r="29" spans="1:8" x14ac:dyDescent="0.2">
      <c r="A29" s="28"/>
      <c r="B29" s="509"/>
      <c r="C29" s="254"/>
      <c r="D29" s="39"/>
      <c r="E29" s="501"/>
      <c r="F29" s="467"/>
      <c r="G29" s="141">
        <f>IF(H21&gt;0,ROUND(E25-(E25*H21),0),0)</f>
        <v>0</v>
      </c>
    </row>
    <row r="30" spans="1:8" x14ac:dyDescent="0.2">
      <c r="A30" s="28"/>
      <c r="B30" s="509"/>
      <c r="C30" s="254"/>
      <c r="D30" s="39"/>
      <c r="E30" s="501"/>
      <c r="F30" s="467"/>
      <c r="G30" s="141">
        <f>IF(H21&gt;0,ROUND(E26-(E26*H21),0),0)</f>
        <v>0</v>
      </c>
    </row>
    <row r="31" spans="1:8" x14ac:dyDescent="0.2">
      <c r="A31" s="28"/>
      <c r="B31" s="509"/>
      <c r="C31" s="254"/>
      <c r="D31" s="39"/>
      <c r="E31" s="501"/>
      <c r="F31" s="467"/>
      <c r="G31" s="141">
        <f>IF(H21&gt;0,ROUND(E27-(E27*H21),0),0)</f>
        <v>0</v>
      </c>
    </row>
    <row r="32" spans="1:8" x14ac:dyDescent="0.2">
      <c r="A32" s="42" t="str">
        <f>CONCATENATE("Total Tax Levy Funds for ",C6-1," Budgeted Year")</f>
        <v>Total Tax Levy Funds for 2023 Budgeted Year</v>
      </c>
      <c r="B32" s="43"/>
      <c r="C32" s="44"/>
      <c r="D32" s="45"/>
      <c r="E32" s="46">
        <f>SUM(E18:E31)</f>
        <v>1063125</v>
      </c>
      <c r="F32" s="467"/>
      <c r="G32" s="141">
        <f>IF(H21&gt;0,ROUND(E28-(E28*H21),0),0)</f>
        <v>0</v>
      </c>
    </row>
    <row r="33" spans="1:7" x14ac:dyDescent="0.2">
      <c r="A33" s="29"/>
      <c r="B33" s="28"/>
      <c r="C33" s="28"/>
      <c r="D33" s="47"/>
      <c r="E33" s="40"/>
      <c r="F33" s="467"/>
      <c r="G33" s="141">
        <f>IF(H21&gt;0,ROUND(E29-(E29*H21),0),0)</f>
        <v>0</v>
      </c>
    </row>
    <row r="34" spans="1:7" x14ac:dyDescent="0.2">
      <c r="A34" s="29" t="s">
        <v>169</v>
      </c>
      <c r="B34" s="28"/>
      <c r="C34" s="28"/>
      <c r="D34" s="28"/>
      <c r="E34" s="28"/>
      <c r="F34" s="467"/>
      <c r="G34" s="141">
        <f>IF(H21&gt;0,ROUND(E30-(E30*H21),0),0)</f>
        <v>0</v>
      </c>
    </row>
    <row r="35" spans="1:7" x14ac:dyDescent="0.2">
      <c r="A35" s="28"/>
      <c r="B35" s="38" t="s">
        <v>132</v>
      </c>
      <c r="C35" s="28"/>
      <c r="D35" s="39">
        <v>54403</v>
      </c>
      <c r="E35" s="28"/>
      <c r="F35" s="467"/>
      <c r="G35" s="141">
        <f>IF(H21&gt;0,ROUND(E31-(E31*H21),0),0)</f>
        <v>0</v>
      </c>
    </row>
    <row r="36" spans="1:7" x14ac:dyDescent="0.2">
      <c r="A36" s="28"/>
      <c r="B36" s="41" t="s">
        <v>980</v>
      </c>
      <c r="C36" s="28"/>
      <c r="D36" s="39">
        <v>53947</v>
      </c>
      <c r="E36" s="28"/>
    </row>
    <row r="37" spans="1:7" x14ac:dyDescent="0.2">
      <c r="A37" s="28"/>
      <c r="B37" s="41" t="s">
        <v>981</v>
      </c>
      <c r="C37" s="28"/>
      <c r="D37" s="39">
        <v>5000</v>
      </c>
      <c r="E37" s="28"/>
    </row>
    <row r="38" spans="1:7" x14ac:dyDescent="0.2">
      <c r="A38" s="28"/>
      <c r="B38" s="41"/>
      <c r="C38" s="28"/>
      <c r="D38" s="39"/>
      <c r="E38" s="28"/>
    </row>
    <row r="39" spans="1:7" x14ac:dyDescent="0.2">
      <c r="A39" s="28"/>
      <c r="B39" s="41"/>
      <c r="C39" s="28"/>
      <c r="D39" s="39"/>
      <c r="E39" s="28"/>
    </row>
    <row r="40" spans="1:7" x14ac:dyDescent="0.2">
      <c r="A40" s="28"/>
      <c r="B40" s="41"/>
      <c r="C40" s="28"/>
      <c r="D40" s="39"/>
      <c r="E40" s="28"/>
    </row>
    <row r="41" spans="1:7" x14ac:dyDescent="0.2">
      <c r="A41" s="28"/>
      <c r="B41" s="41"/>
      <c r="C41" s="28"/>
      <c r="D41" s="39"/>
      <c r="E41" s="28"/>
    </row>
    <row r="42" spans="1:7" x14ac:dyDescent="0.2">
      <c r="A42" s="28"/>
      <c r="B42" s="41"/>
      <c r="C42" s="28"/>
      <c r="D42" s="39"/>
      <c r="E42" s="28"/>
    </row>
    <row r="43" spans="1:7" x14ac:dyDescent="0.2">
      <c r="A43" s="28"/>
      <c r="B43" s="41"/>
      <c r="C43" s="28"/>
      <c r="D43" s="39"/>
      <c r="E43" s="28"/>
    </row>
    <row r="44" spans="1:7" x14ac:dyDescent="0.2">
      <c r="A44" s="28"/>
      <c r="B44" s="41"/>
      <c r="C44" s="28"/>
      <c r="D44" s="39"/>
      <c r="E44" s="28"/>
    </row>
    <row r="45" spans="1:7" x14ac:dyDescent="0.2">
      <c r="A45" s="28"/>
      <c r="B45" s="48"/>
      <c r="C45" s="28"/>
      <c r="D45" s="39"/>
      <c r="E45" s="28"/>
    </row>
    <row r="46" spans="1:7" x14ac:dyDescent="0.2">
      <c r="A46" s="28"/>
      <c r="B46" s="48"/>
      <c r="C46" s="28"/>
      <c r="D46" s="39"/>
      <c r="E46" s="28"/>
    </row>
    <row r="47" spans="1:7" x14ac:dyDescent="0.2">
      <c r="A47" s="28"/>
      <c r="B47" s="48"/>
      <c r="C47" s="28"/>
      <c r="D47" s="39"/>
      <c r="E47" s="28"/>
    </row>
    <row r="48" spans="1:7" x14ac:dyDescent="0.2">
      <c r="A48" s="28"/>
      <c r="B48" s="48"/>
      <c r="C48" s="28"/>
      <c r="D48" s="39"/>
      <c r="E48" s="28"/>
    </row>
    <row r="49" spans="1:5" x14ac:dyDescent="0.2">
      <c r="A49" s="28"/>
      <c r="B49" s="48"/>
      <c r="C49" s="28"/>
      <c r="D49" s="39"/>
      <c r="E49" s="28"/>
    </row>
    <row r="50" spans="1:5" x14ac:dyDescent="0.2">
      <c r="A50" s="28"/>
      <c r="B50" s="48"/>
      <c r="C50" s="28"/>
      <c r="D50" s="39"/>
      <c r="E50" s="28"/>
    </row>
    <row r="51" spans="1:5" x14ac:dyDescent="0.2">
      <c r="A51" s="28" t="s">
        <v>191</v>
      </c>
      <c r="B51" s="480"/>
      <c r="C51" s="28"/>
      <c r="D51" s="28"/>
      <c r="E51" s="28"/>
    </row>
    <row r="52" spans="1:5" x14ac:dyDescent="0.2">
      <c r="A52" s="28">
        <v>1</v>
      </c>
      <c r="B52" s="479" t="s">
        <v>982</v>
      </c>
      <c r="C52" s="28"/>
      <c r="D52" s="39">
        <v>253700</v>
      </c>
      <c r="E52" s="28"/>
    </row>
    <row r="53" spans="1:5" x14ac:dyDescent="0.2">
      <c r="A53" s="28">
        <v>2</v>
      </c>
      <c r="B53" s="48" t="s">
        <v>983</v>
      </c>
      <c r="C53" s="28"/>
      <c r="D53" s="39">
        <v>261289</v>
      </c>
      <c r="E53" s="28"/>
    </row>
    <row r="54" spans="1:5" x14ac:dyDescent="0.2">
      <c r="A54" s="28">
        <v>3</v>
      </c>
      <c r="B54" s="48" t="s">
        <v>984</v>
      </c>
      <c r="C54" s="28"/>
      <c r="D54" s="39">
        <v>1131143</v>
      </c>
      <c r="E54" s="28"/>
    </row>
    <row r="55" spans="1:5" x14ac:dyDescent="0.2">
      <c r="A55" s="28">
        <v>4</v>
      </c>
      <c r="B55" s="48"/>
      <c r="C55" s="28"/>
      <c r="D55" s="39"/>
      <c r="E55" s="28"/>
    </row>
    <row r="56" spans="1:5" x14ac:dyDescent="0.2">
      <c r="A56" s="42" t="str">
        <f>CONCATENATE("Total Expenditures for ",C6-1," Budgeted Year")</f>
        <v>Total Expenditures for 2023 Budgeted Year</v>
      </c>
      <c r="B56" s="480"/>
      <c r="C56" s="49"/>
      <c r="D56" s="50">
        <f>SUM(D18:D20,D22:D31,D35:D50,D52:D55)</f>
        <v>3450136</v>
      </c>
      <c r="E56" s="28"/>
    </row>
    <row r="57" spans="1:5" x14ac:dyDescent="0.2">
      <c r="A57" s="28" t="s">
        <v>192</v>
      </c>
      <c r="B57" s="480"/>
      <c r="C57" s="28"/>
      <c r="D57" s="28"/>
      <c r="E57" s="28"/>
    </row>
    <row r="58" spans="1:5" x14ac:dyDescent="0.2">
      <c r="A58" s="28">
        <v>1</v>
      </c>
      <c r="B58" s="479" t="s">
        <v>985</v>
      </c>
      <c r="C58" s="28"/>
      <c r="D58" s="28"/>
      <c r="E58" s="28"/>
    </row>
    <row r="59" spans="1:5" x14ac:dyDescent="0.2">
      <c r="A59" s="28">
        <v>2</v>
      </c>
      <c r="B59" s="48" t="s">
        <v>986</v>
      </c>
      <c r="C59" s="28"/>
      <c r="D59" s="28"/>
      <c r="E59" s="28"/>
    </row>
    <row r="60" spans="1:5" x14ac:dyDescent="0.2">
      <c r="A60" s="28">
        <v>3</v>
      </c>
      <c r="B60" s="48" t="s">
        <v>984</v>
      </c>
      <c r="C60" s="28"/>
      <c r="D60" s="28"/>
      <c r="E60" s="28"/>
    </row>
    <row r="61" spans="1:5" x14ac:dyDescent="0.2">
      <c r="A61" s="28">
        <v>4</v>
      </c>
      <c r="B61" s="48" t="s">
        <v>987</v>
      </c>
      <c r="C61" s="28"/>
      <c r="D61" s="28"/>
      <c r="E61" s="28"/>
    </row>
    <row r="62" spans="1:5" x14ac:dyDescent="0.2">
      <c r="A62" s="28">
        <v>5</v>
      </c>
      <c r="B62" s="48" t="s">
        <v>988</v>
      </c>
      <c r="C62" s="28"/>
      <c r="D62" s="28"/>
      <c r="E62" s="28"/>
    </row>
    <row r="63" spans="1:5" x14ac:dyDescent="0.2">
      <c r="A63" s="28" t="s">
        <v>193</v>
      </c>
      <c r="B63" s="480"/>
      <c r="C63" s="28"/>
      <c r="D63" s="28"/>
      <c r="E63" s="28"/>
    </row>
    <row r="64" spans="1:5" x14ac:dyDescent="0.2">
      <c r="A64" s="28">
        <v>1</v>
      </c>
      <c r="B64" s="479" t="s">
        <v>989</v>
      </c>
      <c r="C64" s="28"/>
      <c r="D64" s="28"/>
      <c r="E64" s="28"/>
    </row>
    <row r="65" spans="1:5" x14ac:dyDescent="0.2">
      <c r="A65" s="28">
        <v>2</v>
      </c>
      <c r="B65" s="48" t="s">
        <v>990</v>
      </c>
      <c r="C65" s="28"/>
      <c r="D65" s="28"/>
      <c r="E65" s="28"/>
    </row>
    <row r="66" spans="1:5" x14ac:dyDescent="0.2">
      <c r="A66" s="28">
        <v>3</v>
      </c>
      <c r="B66" s="48" t="s">
        <v>991</v>
      </c>
      <c r="C66" s="28"/>
      <c r="D66" s="28"/>
      <c r="E66" s="28"/>
    </row>
    <row r="67" spans="1:5" x14ac:dyDescent="0.2">
      <c r="A67" s="28">
        <v>4</v>
      </c>
      <c r="B67" s="48" t="s">
        <v>992</v>
      </c>
      <c r="C67" s="28"/>
      <c r="D67" s="28"/>
      <c r="E67" s="28"/>
    </row>
    <row r="68" spans="1:5" x14ac:dyDescent="0.2">
      <c r="A68" s="28">
        <v>5</v>
      </c>
      <c r="B68" s="48" t="s">
        <v>993</v>
      </c>
      <c r="C68" s="28"/>
      <c r="D68" s="28"/>
      <c r="E68" s="28"/>
    </row>
    <row r="69" spans="1:5" x14ac:dyDescent="0.2">
      <c r="A69" s="28" t="s">
        <v>194</v>
      </c>
      <c r="B69" s="480"/>
      <c r="C69" s="28"/>
      <c r="D69" s="28"/>
      <c r="E69" s="28"/>
    </row>
    <row r="70" spans="1:5" x14ac:dyDescent="0.2">
      <c r="A70" s="28">
        <v>1</v>
      </c>
      <c r="B70" s="479"/>
      <c r="C70" s="28"/>
      <c r="D70" s="28"/>
      <c r="E70" s="28"/>
    </row>
    <row r="71" spans="1:5" x14ac:dyDescent="0.2">
      <c r="A71" s="28">
        <v>2</v>
      </c>
      <c r="B71" s="48"/>
      <c r="C71" s="28"/>
      <c r="D71" s="28"/>
      <c r="E71" s="28"/>
    </row>
    <row r="72" spans="1:5" x14ac:dyDescent="0.2">
      <c r="A72" s="28">
        <v>3</v>
      </c>
      <c r="B72" s="48"/>
      <c r="C72" s="28"/>
      <c r="D72" s="28"/>
      <c r="E72" s="28"/>
    </row>
    <row r="73" spans="1:5" x14ac:dyDescent="0.2">
      <c r="A73" s="28">
        <v>4</v>
      </c>
      <c r="B73" s="48"/>
      <c r="C73" s="28"/>
      <c r="D73" s="28"/>
      <c r="E73" s="28"/>
    </row>
    <row r="74" spans="1:5" x14ac:dyDescent="0.2">
      <c r="A74" s="28">
        <v>5</v>
      </c>
      <c r="B74" s="48"/>
      <c r="C74" s="28"/>
      <c r="D74" s="28"/>
      <c r="E74" s="28"/>
    </row>
    <row r="75" spans="1:5" x14ac:dyDescent="0.2">
      <c r="A75" s="28" t="s">
        <v>195</v>
      </c>
      <c r="B75" s="480"/>
      <c r="C75" s="28"/>
      <c r="D75" s="28"/>
      <c r="E75" s="28"/>
    </row>
    <row r="76" spans="1:5" x14ac:dyDescent="0.2">
      <c r="A76" s="28">
        <v>1</v>
      </c>
      <c r="B76" s="479"/>
      <c r="C76" s="28"/>
      <c r="D76" s="28"/>
      <c r="E76" s="28"/>
    </row>
    <row r="77" spans="1:5" x14ac:dyDescent="0.2">
      <c r="A77" s="28">
        <v>2</v>
      </c>
      <c r="B77" s="48"/>
      <c r="C77" s="28"/>
      <c r="D77" s="28"/>
      <c r="E77" s="28"/>
    </row>
    <row r="78" spans="1:5" x14ac:dyDescent="0.2">
      <c r="A78" s="28">
        <v>3</v>
      </c>
      <c r="B78" s="48"/>
      <c r="C78" s="28"/>
      <c r="D78" s="28"/>
      <c r="E78" s="28"/>
    </row>
    <row r="79" spans="1:5" x14ac:dyDescent="0.2">
      <c r="A79" s="28">
        <v>4</v>
      </c>
      <c r="B79" s="48"/>
      <c r="C79" s="28"/>
      <c r="D79" s="28"/>
      <c r="E79" s="28"/>
    </row>
    <row r="80" spans="1:5" x14ac:dyDescent="0.2">
      <c r="A80" s="28">
        <v>5</v>
      </c>
      <c r="B80" s="48"/>
      <c r="C80" s="28"/>
      <c r="D80" s="28"/>
      <c r="E80" s="28"/>
    </row>
    <row r="81" spans="1:5" x14ac:dyDescent="0.2">
      <c r="A81" s="29"/>
      <c r="B81" s="28"/>
      <c r="C81" s="28"/>
      <c r="D81" s="28"/>
      <c r="E81" s="51"/>
    </row>
    <row r="82" spans="1:5" x14ac:dyDescent="0.2">
      <c r="A82" s="28"/>
      <c r="B82" s="28"/>
      <c r="C82" s="28"/>
      <c r="D82" s="28"/>
      <c r="E82" s="28"/>
    </row>
    <row r="83" spans="1:5" x14ac:dyDescent="0.2">
      <c r="A83" s="28"/>
      <c r="B83" s="28"/>
      <c r="C83" s="28"/>
      <c r="D83" s="477" t="str">
        <f>CONCATENATE("",C6-3," Tax Rate")</f>
        <v>2021 Tax Rate</v>
      </c>
      <c r="E83" s="28"/>
    </row>
    <row r="84" spans="1:5" x14ac:dyDescent="0.2">
      <c r="A84" s="475" t="str">
        <f>CONCATENATE("From the ",C6-1," Budget, Budget Summary Page")</f>
        <v>From the 2023 Budget, Budget Summary Page</v>
      </c>
      <c r="B84" s="476"/>
      <c r="C84" s="28"/>
      <c r="D84" s="478" t="str">
        <f>CONCATENATE("(",C6-2," Column)")</f>
        <v>(2022 Column)</v>
      </c>
      <c r="E84" s="28"/>
    </row>
    <row r="85" spans="1:5" x14ac:dyDescent="0.2">
      <c r="A85" s="28"/>
      <c r="B85" s="474" t="str">
        <f>B18</f>
        <v>General</v>
      </c>
      <c r="C85" s="28"/>
      <c r="D85" s="48">
        <v>38.634999999999998</v>
      </c>
      <c r="E85" s="28"/>
    </row>
    <row r="86" spans="1:5" x14ac:dyDescent="0.2">
      <c r="A86" s="28"/>
      <c r="B86" s="52" t="str">
        <f>B19</f>
        <v>Debt Service</v>
      </c>
      <c r="C86" s="28"/>
      <c r="D86" s="48">
        <v>0.26700000000000002</v>
      </c>
      <c r="E86" s="28"/>
    </row>
    <row r="87" spans="1:5" x14ac:dyDescent="0.2">
      <c r="A87" s="28"/>
      <c r="B87" s="52" t="str">
        <f>B20</f>
        <v>Library</v>
      </c>
      <c r="C87" s="28"/>
      <c r="D87" s="48">
        <v>4.7169999999999996</v>
      </c>
      <c r="E87" s="28"/>
    </row>
    <row r="88" spans="1:5" x14ac:dyDescent="0.2">
      <c r="A88" s="28"/>
      <c r="B88" s="52" t="str">
        <f t="shared" ref="B88:B97" si="0">B22</f>
        <v>Employee Benefits</v>
      </c>
      <c r="C88" s="28"/>
      <c r="D88" s="48">
        <v>5.9939999999999998</v>
      </c>
      <c r="E88" s="28"/>
    </row>
    <row r="89" spans="1:5" x14ac:dyDescent="0.2">
      <c r="A89" s="28"/>
      <c r="B89" s="52" t="str">
        <f t="shared" si="0"/>
        <v>Library Employee Benefits</v>
      </c>
      <c r="C89" s="28"/>
      <c r="D89" s="48">
        <v>0.46</v>
      </c>
      <c r="E89" s="28"/>
    </row>
    <row r="90" spans="1:5" x14ac:dyDescent="0.2">
      <c r="A90" s="28"/>
      <c r="B90" s="52" t="str">
        <f t="shared" si="0"/>
        <v>Special Tort Claim</v>
      </c>
      <c r="C90" s="28"/>
      <c r="D90" s="48">
        <v>1.5049999999999999</v>
      </c>
      <c r="E90" s="28"/>
    </row>
    <row r="91" spans="1:5" x14ac:dyDescent="0.2">
      <c r="A91" s="28"/>
      <c r="B91" s="52">
        <f t="shared" si="0"/>
        <v>0</v>
      </c>
      <c r="C91" s="28"/>
      <c r="D91" s="48"/>
      <c r="E91" s="28"/>
    </row>
    <row r="92" spans="1:5" x14ac:dyDescent="0.2">
      <c r="A92" s="28"/>
      <c r="B92" s="52">
        <f t="shared" si="0"/>
        <v>0</v>
      </c>
      <c r="C92" s="28"/>
      <c r="D92" s="48"/>
      <c r="E92" s="28"/>
    </row>
    <row r="93" spans="1:5" x14ac:dyDescent="0.2">
      <c r="A93" s="28"/>
      <c r="B93" s="52">
        <f t="shared" si="0"/>
        <v>0</v>
      </c>
      <c r="C93" s="28"/>
      <c r="D93" s="48"/>
      <c r="E93" s="28"/>
    </row>
    <row r="94" spans="1:5" x14ac:dyDescent="0.2">
      <c r="A94" s="28"/>
      <c r="B94" s="52">
        <f t="shared" si="0"/>
        <v>0</v>
      </c>
      <c r="C94" s="28"/>
      <c r="D94" s="48"/>
      <c r="E94" s="28"/>
    </row>
    <row r="95" spans="1:5" x14ac:dyDescent="0.2">
      <c r="A95" s="28"/>
      <c r="B95" s="52">
        <f t="shared" si="0"/>
        <v>0</v>
      </c>
      <c r="C95" s="28"/>
      <c r="D95" s="48"/>
      <c r="E95" s="28"/>
    </row>
    <row r="96" spans="1:5" x14ac:dyDescent="0.2">
      <c r="A96" s="28"/>
      <c r="B96" s="52">
        <f t="shared" si="0"/>
        <v>0</v>
      </c>
      <c r="C96" s="28"/>
      <c r="D96" s="48"/>
      <c r="E96" s="28"/>
    </row>
    <row r="97" spans="1:5" x14ac:dyDescent="0.2">
      <c r="A97" s="28"/>
      <c r="B97" s="52">
        <f t="shared" si="0"/>
        <v>0</v>
      </c>
      <c r="C97" s="96"/>
      <c r="D97" s="48"/>
      <c r="E97" s="28"/>
    </row>
    <row r="98" spans="1:5" x14ac:dyDescent="0.2">
      <c r="A98" s="42" t="s">
        <v>35</v>
      </c>
      <c r="B98" s="43"/>
      <c r="C98" s="49"/>
      <c r="D98" s="53">
        <f>SUM(D85:D97)</f>
        <v>51.578000000000003</v>
      </c>
      <c r="E98" s="28"/>
    </row>
    <row r="99" spans="1:5" x14ac:dyDescent="0.2">
      <c r="A99" s="28"/>
      <c r="B99" s="28"/>
      <c r="C99" s="28"/>
      <c r="D99" s="28"/>
      <c r="E99" s="28"/>
    </row>
    <row r="100" spans="1:5" x14ac:dyDescent="0.2">
      <c r="A100" s="481" t="str">
        <f>CONCATENATE("Total Tax Levied (",C6-2," budget column)")</f>
        <v>Total Tax Levied (2022 budget column)</v>
      </c>
      <c r="B100" s="482"/>
      <c r="C100" s="43"/>
      <c r="D100" s="49"/>
      <c r="E100" s="39">
        <v>898288</v>
      </c>
    </row>
    <row r="101" spans="1:5" x14ac:dyDescent="0.2">
      <c r="A101" s="481" t="str">
        <f>CONCATENATE("Assessed Valuation  (",C6-2," budget column)")</f>
        <v>Assessed Valuation  (2022 budget column)</v>
      </c>
      <c r="B101" s="482"/>
      <c r="C101" s="44"/>
      <c r="D101" s="54"/>
      <c r="E101" s="39">
        <v>17416209</v>
      </c>
    </row>
    <row r="102" spans="1:5" x14ac:dyDescent="0.2">
      <c r="A102" s="29"/>
      <c r="B102" s="28"/>
      <c r="C102" s="28"/>
      <c r="D102" s="28"/>
      <c r="E102" s="51"/>
    </row>
    <row r="103" spans="1:5" x14ac:dyDescent="0.2">
      <c r="A103" s="483" t="str">
        <f>CONCATENATE("From the ",C6-1," Budget, Budget Summary Page")</f>
        <v>From the 2023 Budget, Budget Summary Page</v>
      </c>
      <c r="B103" s="484"/>
      <c r="C103" s="28"/>
      <c r="D103" s="55"/>
      <c r="E103" s="56"/>
    </row>
    <row r="104" spans="1:5" x14ac:dyDescent="0.2">
      <c r="A104" s="485" t="s">
        <v>2</v>
      </c>
      <c r="B104" s="486"/>
      <c r="C104" s="57"/>
      <c r="D104" s="58">
        <f>C6-3</f>
        <v>2021</v>
      </c>
      <c r="E104" s="59">
        <f>C6-2</f>
        <v>2022</v>
      </c>
    </row>
    <row r="105" spans="1:5" x14ac:dyDescent="0.2">
      <c r="A105" s="487" t="s">
        <v>165</v>
      </c>
      <c r="B105" s="488"/>
      <c r="C105" s="60"/>
      <c r="D105" s="61">
        <v>1835000</v>
      </c>
      <c r="E105" s="61">
        <v>1725000</v>
      </c>
    </row>
    <row r="106" spans="1:5" x14ac:dyDescent="0.2">
      <c r="A106" s="489" t="s">
        <v>166</v>
      </c>
      <c r="B106" s="490"/>
      <c r="C106" s="63"/>
      <c r="D106" s="61"/>
      <c r="E106" s="61"/>
    </row>
    <row r="107" spans="1:5" x14ac:dyDescent="0.2">
      <c r="A107" s="489" t="s">
        <v>167</v>
      </c>
      <c r="B107" s="490"/>
      <c r="C107" s="63"/>
      <c r="D107" s="61">
        <v>543111</v>
      </c>
      <c r="E107" s="61">
        <v>367631</v>
      </c>
    </row>
    <row r="108" spans="1:5" x14ac:dyDescent="0.2">
      <c r="A108" s="489" t="s">
        <v>168</v>
      </c>
      <c r="B108" s="490"/>
      <c r="C108" s="63"/>
      <c r="D108" s="61">
        <v>126983</v>
      </c>
      <c r="E108" s="61">
        <v>53957</v>
      </c>
    </row>
    <row r="109" spans="1:5" x14ac:dyDescent="0.2">
      <c r="A109" s="64"/>
      <c r="B109" s="64"/>
      <c r="C109" s="64"/>
      <c r="D109" s="64"/>
      <c r="E109" s="64"/>
    </row>
    <row r="110" spans="1:5" x14ac:dyDescent="0.2">
      <c r="A110" s="64"/>
      <c r="B110" s="64"/>
      <c r="C110" s="64"/>
      <c r="D110" s="64"/>
      <c r="E110" s="64"/>
    </row>
    <row r="111" spans="1:5" x14ac:dyDescent="0.2">
      <c r="A111" s="64"/>
      <c r="B111" s="64"/>
      <c r="C111" s="64"/>
      <c r="D111" s="64"/>
      <c r="E111" s="64"/>
    </row>
    <row r="112" spans="1:5" x14ac:dyDescent="0.2">
      <c r="A112" s="64"/>
      <c r="B112" s="64"/>
      <c r="C112" s="64"/>
      <c r="D112" s="64"/>
      <c r="E112" s="64"/>
    </row>
    <row r="113" spans="1:5" x14ac:dyDescent="0.2">
      <c r="A113" s="64"/>
      <c r="B113" s="64"/>
      <c r="C113" s="64"/>
      <c r="D113" s="64"/>
      <c r="E113" s="64"/>
    </row>
    <row r="114" spans="1:5" x14ac:dyDescent="0.2">
      <c r="A114" s="64"/>
      <c r="B114" s="64"/>
      <c r="C114" s="64"/>
      <c r="D114" s="64"/>
      <c r="E114" s="64"/>
    </row>
    <row r="115" spans="1:5" x14ac:dyDescent="0.2">
      <c r="A115" s="64"/>
      <c r="B115" s="64"/>
      <c r="C115" s="64"/>
      <c r="D115" s="64"/>
      <c r="E115" s="64"/>
    </row>
    <row r="116" spans="1:5" x14ac:dyDescent="0.2">
      <c r="A116" s="64"/>
      <c r="B116" s="64"/>
      <c r="C116" s="64"/>
      <c r="D116" s="64"/>
      <c r="E116" s="64"/>
    </row>
    <row r="117" spans="1:5" x14ac:dyDescent="0.2">
      <c r="A117" s="64"/>
      <c r="B117" s="64"/>
      <c r="C117" s="64"/>
      <c r="D117" s="64"/>
      <c r="E117" s="64"/>
    </row>
    <row r="118" spans="1:5" x14ac:dyDescent="0.2">
      <c r="A118" s="64"/>
      <c r="B118" s="64"/>
      <c r="C118" s="64"/>
      <c r="D118" s="64"/>
      <c r="E118" s="64"/>
    </row>
    <row r="119" spans="1:5" s="64" customFormat="1" ht="15" x14ac:dyDescent="0.2"/>
    <row r="120" spans="1:5" x14ac:dyDescent="0.2">
      <c r="A120" s="64"/>
      <c r="B120" s="64"/>
      <c r="C120" s="64"/>
      <c r="D120" s="64"/>
      <c r="E120" s="64"/>
    </row>
    <row r="121" spans="1:5" x14ac:dyDescent="0.2">
      <c r="A121" s="64"/>
      <c r="B121" s="64"/>
      <c r="C121" s="64"/>
      <c r="D121" s="64"/>
      <c r="E121" s="64"/>
    </row>
    <row r="122" spans="1:5" x14ac:dyDescent="0.2">
      <c r="A122" s="64"/>
      <c r="B122" s="64"/>
      <c r="C122" s="64"/>
      <c r="D122" s="64"/>
      <c r="E122" s="64"/>
    </row>
    <row r="123" spans="1:5" x14ac:dyDescent="0.2">
      <c r="A123" s="64"/>
      <c r="B123" s="64"/>
      <c r="C123" s="64"/>
      <c r="D123" s="64"/>
      <c r="E123" s="64"/>
    </row>
    <row r="124" spans="1:5" x14ac:dyDescent="0.2">
      <c r="A124" s="64"/>
      <c r="B124" s="64"/>
      <c r="C124" s="64"/>
      <c r="D124" s="64"/>
      <c r="E124" s="64"/>
    </row>
    <row r="125" spans="1:5" x14ac:dyDescent="0.2">
      <c r="A125" s="64"/>
      <c r="B125" s="64"/>
      <c r="C125" s="64"/>
      <c r="D125" s="64"/>
      <c r="E125" s="64"/>
    </row>
    <row r="126" spans="1:5" x14ac:dyDescent="0.2">
      <c r="A126" s="64"/>
      <c r="B126" s="64"/>
      <c r="C126" s="64"/>
      <c r="D126" s="64"/>
      <c r="E126" s="64"/>
    </row>
  </sheetData>
  <sheetProtection sheet="1" objects="1" scenarios="1"/>
  <mergeCells count="6">
    <mergeCell ref="A11:E11"/>
    <mergeCell ref="A1:E1"/>
    <mergeCell ref="A8:E10"/>
    <mergeCell ref="G13:H19"/>
    <mergeCell ref="D3:E3"/>
    <mergeCell ref="D4:E4"/>
  </mergeCells>
  <phoneticPr fontId="0" type="noConversion"/>
  <pageMargins left="0.5" right="0.5" top="1" bottom="0.5" header="0.5" footer="0.25"/>
  <pageSetup scale="75" fitToHeight="2" orientation="portrait" blackAndWhite="1" horizontalDpi="120" verticalDpi="14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E52"/>
  <sheetViews>
    <sheetView workbookViewId="0">
      <selection activeCell="F1" sqref="F1"/>
    </sheetView>
  </sheetViews>
  <sheetFormatPr defaultColWidth="8.88671875" defaultRowHeight="15" x14ac:dyDescent="0.2"/>
  <cols>
    <col min="1" max="1" width="2.44140625" style="64" customWidth="1"/>
    <col min="2" max="2" width="31.109375" style="64" customWidth="1"/>
    <col min="3" max="4" width="15.77734375" style="64" customWidth="1"/>
    <col min="5" max="5" width="16.33203125" style="64" customWidth="1"/>
    <col min="6" max="16384" width="8.88671875" style="64"/>
  </cols>
  <sheetData>
    <row r="1" spans="2:5" ht="15.75" x14ac:dyDescent="0.2">
      <c r="B1" s="47" t="str">
        <f>(inputPrYr!D3)</f>
        <v>Wellsville</v>
      </c>
      <c r="C1" s="28"/>
      <c r="D1" s="28"/>
      <c r="E1" s="133">
        <f>inputPrYr!$C$6</f>
        <v>2024</v>
      </c>
    </row>
    <row r="2" spans="2:5" ht="15.75" x14ac:dyDescent="0.2">
      <c r="B2" s="28"/>
      <c r="C2" s="28"/>
      <c r="D2" s="28"/>
      <c r="E2" s="107"/>
    </row>
    <row r="3" spans="2:5" ht="15.75" x14ac:dyDescent="0.2">
      <c r="B3" s="161" t="s">
        <v>124</v>
      </c>
      <c r="C3" s="201"/>
      <c r="D3" s="201"/>
      <c r="E3" s="202"/>
    </row>
    <row r="4" spans="2:5" ht="15.75" x14ac:dyDescent="0.2">
      <c r="B4" s="29" t="s">
        <v>59</v>
      </c>
      <c r="C4" s="442" t="s">
        <v>479</v>
      </c>
      <c r="D4" s="443" t="s">
        <v>480</v>
      </c>
      <c r="E4" s="87" t="s">
        <v>481</v>
      </c>
    </row>
    <row r="5" spans="2:5" ht="15.75" x14ac:dyDescent="0.2">
      <c r="B5" s="332" t="str">
        <f>(inputPrYr!B52)</f>
        <v>Combined Sales Tax Improv</v>
      </c>
      <c r="C5" s="138" t="str">
        <f>CONCATENATE("Actual for ",E1-2,"")</f>
        <v>Actual for 2022</v>
      </c>
      <c r="D5" s="138" t="str">
        <f>CONCATENATE("Estimate for ",E1-1,"")</f>
        <v>Estimate for 2023</v>
      </c>
      <c r="E5" s="122" t="str">
        <f>CONCATENATE("Year for ",E1,"")</f>
        <v>Year for 2024</v>
      </c>
    </row>
    <row r="6" spans="2:5" ht="15.75" x14ac:dyDescent="0.2">
      <c r="B6" s="93" t="s">
        <v>137</v>
      </c>
      <c r="C6" s="168"/>
      <c r="D6" s="166">
        <f>C45</f>
        <v>0</v>
      </c>
      <c r="E6" s="141">
        <f>D45</f>
        <v>0</v>
      </c>
    </row>
    <row r="7" spans="2:5" ht="15.75" x14ac:dyDescent="0.2">
      <c r="B7" s="192" t="s">
        <v>139</v>
      </c>
      <c r="C7" s="102"/>
      <c r="D7" s="102"/>
      <c r="E7" s="52"/>
    </row>
    <row r="8" spans="2:5" ht="15.75" x14ac:dyDescent="0.2">
      <c r="B8" s="183"/>
      <c r="C8" s="168"/>
      <c r="D8" s="168"/>
      <c r="E8" s="171"/>
    </row>
    <row r="9" spans="2:5" ht="15.75" x14ac:dyDescent="0.2">
      <c r="B9" s="183"/>
      <c r="C9" s="168"/>
      <c r="D9" s="168"/>
      <c r="E9" s="171"/>
    </row>
    <row r="10" spans="2:5" ht="15.75" x14ac:dyDescent="0.2">
      <c r="B10" s="183"/>
      <c r="C10" s="168"/>
      <c r="D10" s="168"/>
      <c r="E10" s="171"/>
    </row>
    <row r="11" spans="2:5" ht="15.75" x14ac:dyDescent="0.2">
      <c r="B11" s="183"/>
      <c r="C11" s="168"/>
      <c r="D11" s="168"/>
      <c r="E11" s="171"/>
    </row>
    <row r="12" spans="2:5" ht="15.75" x14ac:dyDescent="0.2">
      <c r="B12" s="197"/>
      <c r="C12" s="168"/>
      <c r="D12" s="168"/>
      <c r="E12" s="66"/>
    </row>
    <row r="13" spans="2:5" ht="15.75" x14ac:dyDescent="0.2">
      <c r="B13" s="183"/>
      <c r="C13" s="168"/>
      <c r="D13" s="168"/>
      <c r="E13" s="171"/>
    </row>
    <row r="14" spans="2:5" ht="15.75" x14ac:dyDescent="0.2">
      <c r="B14" s="203" t="s">
        <v>67</v>
      </c>
      <c r="C14" s="168"/>
      <c r="D14" s="168"/>
      <c r="E14" s="171"/>
    </row>
    <row r="15" spans="2:5" ht="15.75" x14ac:dyDescent="0.2">
      <c r="B15" s="102" t="s">
        <v>9</v>
      </c>
      <c r="C15" s="168"/>
      <c r="D15" s="168"/>
      <c r="E15" s="171"/>
    </row>
    <row r="16" spans="2:5" ht="15.75" x14ac:dyDescent="0.2">
      <c r="B16" s="163" t="s">
        <v>352</v>
      </c>
      <c r="C16" s="173" t="str">
        <f>IF(C17*0.1&lt;C15,"Exceed 10% Rule","")</f>
        <v/>
      </c>
      <c r="D16" s="173" t="str">
        <f>IF(D17*0.1&lt;D15,"Exceed 10% Rule","")</f>
        <v/>
      </c>
      <c r="E16" s="204" t="str">
        <f>IF(E17*0.1&lt;E15,"Exceed 10% Rule","")</f>
        <v/>
      </c>
    </row>
    <row r="17" spans="2:5" ht="15.75" x14ac:dyDescent="0.2">
      <c r="B17" s="175" t="s">
        <v>68</v>
      </c>
      <c r="C17" s="177">
        <f>SUM(C8:C15)</f>
        <v>0</v>
      </c>
      <c r="D17" s="177">
        <f>SUM(D8:D15)</f>
        <v>0</v>
      </c>
      <c r="E17" s="178">
        <f>SUM(E8:E15)</f>
        <v>0</v>
      </c>
    </row>
    <row r="18" spans="2:5" ht="15.75" x14ac:dyDescent="0.2">
      <c r="B18" s="175" t="s">
        <v>69</v>
      </c>
      <c r="C18" s="177">
        <f>C6+C17</f>
        <v>0</v>
      </c>
      <c r="D18" s="177">
        <f>D6+D17</f>
        <v>0</v>
      </c>
      <c r="E18" s="178">
        <f>E6+E17</f>
        <v>0</v>
      </c>
    </row>
    <row r="19" spans="2:5" ht="15.75" x14ac:dyDescent="0.2">
      <c r="B19" s="93" t="s">
        <v>71</v>
      </c>
      <c r="C19" s="102"/>
      <c r="D19" s="102"/>
      <c r="E19" s="52"/>
    </row>
    <row r="20" spans="2:5" ht="15.75" x14ac:dyDescent="0.2">
      <c r="B20" s="183" t="s">
        <v>171</v>
      </c>
      <c r="C20" s="168"/>
      <c r="D20" s="168"/>
      <c r="E20" s="171"/>
    </row>
    <row r="21" spans="2:5" ht="15.75" x14ac:dyDescent="0.2">
      <c r="B21" s="183" t="s">
        <v>11</v>
      </c>
      <c r="C21" s="168"/>
      <c r="D21" s="168"/>
      <c r="E21" s="171"/>
    </row>
    <row r="22" spans="2:5" ht="15.75" x14ac:dyDescent="0.2">
      <c r="B22" s="183"/>
      <c r="C22" s="168"/>
      <c r="D22" s="168"/>
      <c r="E22" s="66"/>
    </row>
    <row r="23" spans="2:5" ht="15.75" x14ac:dyDescent="0.2">
      <c r="B23" s="183"/>
      <c r="C23" s="168"/>
      <c r="D23" s="168"/>
      <c r="E23" s="66"/>
    </row>
    <row r="24" spans="2:5" ht="15.75" x14ac:dyDescent="0.2">
      <c r="B24" s="183"/>
      <c r="C24" s="168"/>
      <c r="D24" s="168"/>
      <c r="E24" s="66"/>
    </row>
    <row r="25" spans="2:5" ht="15.75" x14ac:dyDescent="0.2">
      <c r="B25" s="183"/>
      <c r="C25" s="168"/>
      <c r="D25" s="168"/>
      <c r="E25" s="66"/>
    </row>
    <row r="26" spans="2:5" ht="15.75" x14ac:dyDescent="0.2">
      <c r="B26" s="183"/>
      <c r="C26" s="168"/>
      <c r="D26" s="168"/>
      <c r="E26" s="66"/>
    </row>
    <row r="27" spans="2:5" ht="15.75" x14ac:dyDescent="0.2">
      <c r="B27" s="183"/>
      <c r="C27" s="168"/>
      <c r="D27" s="168"/>
      <c r="E27" s="66"/>
    </row>
    <row r="28" spans="2:5" ht="15.75" x14ac:dyDescent="0.2">
      <c r="B28" s="183"/>
      <c r="C28" s="168"/>
      <c r="D28" s="168"/>
      <c r="E28" s="66"/>
    </row>
    <row r="29" spans="2:5" ht="15.75" x14ac:dyDescent="0.2">
      <c r="B29" s="183"/>
      <c r="C29" s="168"/>
      <c r="D29" s="168"/>
      <c r="E29" s="66"/>
    </row>
    <row r="30" spans="2:5" ht="15.75" x14ac:dyDescent="0.2">
      <c r="B30" s="183"/>
      <c r="C30" s="168"/>
      <c r="D30" s="168"/>
      <c r="E30" s="66"/>
    </row>
    <row r="31" spans="2:5" ht="15.75" x14ac:dyDescent="0.2">
      <c r="B31" s="183"/>
      <c r="C31" s="168"/>
      <c r="D31" s="168"/>
      <c r="E31" s="66"/>
    </row>
    <row r="32" spans="2:5" ht="15.75" x14ac:dyDescent="0.2">
      <c r="B32" s="183"/>
      <c r="C32" s="168"/>
      <c r="D32" s="168"/>
      <c r="E32" s="171"/>
    </row>
    <row r="33" spans="2:5" ht="15.75" x14ac:dyDescent="0.2">
      <c r="B33" s="183"/>
      <c r="C33" s="168"/>
      <c r="D33" s="168"/>
      <c r="E33" s="171"/>
    </row>
    <row r="34" spans="2:5" ht="15.75" x14ac:dyDescent="0.2">
      <c r="B34" s="183"/>
      <c r="C34" s="168"/>
      <c r="D34" s="168"/>
      <c r="E34" s="171"/>
    </row>
    <row r="35" spans="2:5" ht="15.75" x14ac:dyDescent="0.2">
      <c r="B35" s="183"/>
      <c r="C35" s="168"/>
      <c r="D35" s="168"/>
      <c r="E35" s="171"/>
    </row>
    <row r="36" spans="2:5" ht="15.75" x14ac:dyDescent="0.2">
      <c r="B36" s="183"/>
      <c r="C36" s="168"/>
      <c r="D36" s="168"/>
      <c r="E36" s="171"/>
    </row>
    <row r="37" spans="2:5" ht="15.75" x14ac:dyDescent="0.2">
      <c r="B37" s="183"/>
      <c r="C37" s="168"/>
      <c r="D37" s="168"/>
      <c r="E37" s="171"/>
    </row>
    <row r="38" spans="2:5" ht="15.75" x14ac:dyDescent="0.2">
      <c r="B38" s="183"/>
      <c r="C38" s="168"/>
      <c r="D38" s="168"/>
      <c r="E38" s="171"/>
    </row>
    <row r="39" spans="2:5" ht="15.75" x14ac:dyDescent="0.2">
      <c r="B39" s="183"/>
      <c r="C39" s="168"/>
      <c r="D39" s="168"/>
      <c r="E39" s="171"/>
    </row>
    <row r="40" spans="2:5" ht="15.75" x14ac:dyDescent="0.2">
      <c r="B40" s="183"/>
      <c r="C40" s="168"/>
      <c r="D40" s="168"/>
      <c r="E40" s="171"/>
    </row>
    <row r="41" spans="2:5" ht="15.75" x14ac:dyDescent="0.2">
      <c r="B41" s="184" t="str">
        <f>CONCATENATE("Cash Forward (",E1," column)")</f>
        <v>Cash Forward (2024 column)</v>
      </c>
      <c r="C41" s="168"/>
      <c r="D41" s="168"/>
      <c r="E41" s="171"/>
    </row>
    <row r="42" spans="2:5" ht="15.75" x14ac:dyDescent="0.2">
      <c r="B42" s="184" t="s">
        <v>9</v>
      </c>
      <c r="C42" s="168"/>
      <c r="D42" s="168"/>
      <c r="E42" s="171"/>
    </row>
    <row r="43" spans="2:5" ht="15.75" x14ac:dyDescent="0.2">
      <c r="B43" s="184" t="s">
        <v>353</v>
      </c>
      <c r="C43" s="173" t="str">
        <f>IF(C44*0.1&lt;C42,"Exceed 10% Rule","")</f>
        <v/>
      </c>
      <c r="D43" s="173" t="str">
        <f>IF(D44*0.1&lt;D42,"Exceed 10% Rule","")</f>
        <v/>
      </c>
      <c r="E43" s="204" t="str">
        <f>IF(E44*0.1&lt;E42,"Exceed 10% Rule","")</f>
        <v/>
      </c>
    </row>
    <row r="44" spans="2:5" ht="15.75" x14ac:dyDescent="0.2">
      <c r="B44" s="175" t="s">
        <v>75</v>
      </c>
      <c r="C44" s="177">
        <f>SUM(C20:C42)</f>
        <v>0</v>
      </c>
      <c r="D44" s="177">
        <f>SUM(D20:D42)</f>
        <v>0</v>
      </c>
      <c r="E44" s="178">
        <f>SUM(E20:E42)</f>
        <v>0</v>
      </c>
    </row>
    <row r="45" spans="2:5" ht="15.75" x14ac:dyDescent="0.2">
      <c r="B45" s="93" t="s">
        <v>138</v>
      </c>
      <c r="C45" s="181">
        <f>C18-C44</f>
        <v>0</v>
      </c>
      <c r="D45" s="181">
        <f>D18-D44</f>
        <v>0</v>
      </c>
      <c r="E45" s="50">
        <f>E18-E44</f>
        <v>0</v>
      </c>
    </row>
    <row r="46" spans="2:5" ht="15.75" x14ac:dyDescent="0.2">
      <c r="B46" s="108" t="str">
        <f>CONCATENATE("",E1-2,"/",E1-1,"/",E1," Budget Authority Amount:")</f>
        <v>2022/2023/2024 Budget Authority Amount:</v>
      </c>
      <c r="C46" s="446">
        <f>inputOth!B94</f>
        <v>235000</v>
      </c>
      <c r="D46" s="446">
        <f>inputPrYr!D52</f>
        <v>253700</v>
      </c>
      <c r="E46" s="458">
        <f>E44</f>
        <v>0</v>
      </c>
    </row>
    <row r="47" spans="2:5" ht="15.75" x14ac:dyDescent="0.2">
      <c r="B47" s="80"/>
      <c r="C47" s="186" t="str">
        <f>IF(C44&gt;C46,"See Tab A","")</f>
        <v/>
      </c>
      <c r="D47" s="186" t="str">
        <f>IF(D44&gt;D46,"See Tab C","")</f>
        <v/>
      </c>
      <c r="E47" s="459" t="str">
        <f>IF(E45&lt;0,"See Tab E","")</f>
        <v/>
      </c>
    </row>
    <row r="48" spans="2:5" ht="15.75" x14ac:dyDescent="0.2">
      <c r="B48" s="539" t="s">
        <v>539</v>
      </c>
      <c r="C48" s="528" t="str">
        <f>IF(C45&lt;0,"See Tab B","")</f>
        <v/>
      </c>
      <c r="D48" s="528" t="str">
        <f>IF(D45&lt;0,"See Tab D","")</f>
        <v/>
      </c>
      <c r="E48" s="532"/>
    </row>
    <row r="49" spans="2:5" ht="15.75" x14ac:dyDescent="0.2">
      <c r="B49" s="529"/>
      <c r="C49" s="186"/>
      <c r="D49" s="186"/>
      <c r="E49" s="533"/>
    </row>
    <row r="50" spans="2:5" ht="15.75" x14ac:dyDescent="0.2">
      <c r="B50" s="530"/>
      <c r="C50" s="531"/>
      <c r="D50" s="531"/>
      <c r="E50" s="73"/>
    </row>
    <row r="51" spans="2:5" x14ac:dyDescent="0.2">
      <c r="B51" s="40"/>
      <c r="C51" s="40"/>
      <c r="D51" s="40"/>
      <c r="E51" s="40"/>
    </row>
    <row r="52" spans="2:5" ht="15.75" x14ac:dyDescent="0.2">
      <c r="B52" s="272" t="s">
        <v>78</v>
      </c>
      <c r="C52" s="464"/>
      <c r="D52" s="40"/>
      <c r="E52" s="40"/>
    </row>
  </sheetData>
  <sheetProtection sheet="1" objects="1" scenarios="1"/>
  <phoneticPr fontId="8" type="noConversion"/>
  <conditionalFormatting sqref="C15">
    <cfRule type="cellIs" dxfId="34" priority="2" stopIfTrue="1" operator="greaterThan">
      <formula>$C$17*0.1</formula>
    </cfRule>
  </conditionalFormatting>
  <conditionalFormatting sqref="C42">
    <cfRule type="cellIs" dxfId="33" priority="7" stopIfTrue="1" operator="greaterThan">
      <formula>$C$44*0.1</formula>
    </cfRule>
  </conditionalFormatting>
  <conditionalFormatting sqref="C44">
    <cfRule type="cellIs" dxfId="32" priority="10" stopIfTrue="1" operator="greaterThan">
      <formula>$C$46</formula>
    </cfRule>
  </conditionalFormatting>
  <conditionalFormatting sqref="C45">
    <cfRule type="cellIs" dxfId="31" priority="11" stopIfTrue="1" operator="lessThan">
      <formula>0</formula>
    </cfRule>
  </conditionalFormatting>
  <conditionalFormatting sqref="D15">
    <cfRule type="cellIs" dxfId="30" priority="3" stopIfTrue="1" operator="greaterThan">
      <formula>$D$17*0.1</formula>
    </cfRule>
  </conditionalFormatting>
  <conditionalFormatting sqref="D42">
    <cfRule type="cellIs" dxfId="29" priority="8" stopIfTrue="1" operator="greaterThan">
      <formula>$D$44*0.1</formula>
    </cfRule>
  </conditionalFormatting>
  <conditionalFormatting sqref="D44">
    <cfRule type="cellIs" dxfId="28" priority="9" stopIfTrue="1" operator="greaterThan">
      <formula>$D$46</formula>
    </cfRule>
  </conditionalFormatting>
  <conditionalFormatting sqref="D45">
    <cfRule type="cellIs" dxfId="27" priority="4" stopIfTrue="1" operator="lessThan">
      <formula>0</formula>
    </cfRule>
  </conditionalFormatting>
  <conditionalFormatting sqref="E15">
    <cfRule type="cellIs" dxfId="26" priority="5" stopIfTrue="1" operator="greaterThan">
      <formula>$E$17*0.1</formula>
    </cfRule>
  </conditionalFormatting>
  <conditionalFormatting sqref="E42">
    <cfRule type="cellIs" dxfId="25" priority="6" stopIfTrue="1" operator="greaterThan">
      <formula>$E$44*0.1</formula>
    </cfRule>
  </conditionalFormatting>
  <conditionalFormatting sqref="E45:E46">
    <cfRule type="cellIs" dxfId="24"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E52"/>
  <sheetViews>
    <sheetView workbookViewId="0">
      <selection activeCell="F1" sqref="F1"/>
    </sheetView>
  </sheetViews>
  <sheetFormatPr defaultColWidth="8.88671875" defaultRowHeight="15" x14ac:dyDescent="0.2"/>
  <cols>
    <col min="1" max="1" width="2.44140625" style="64" customWidth="1"/>
    <col min="2" max="2" width="31.109375" style="64" customWidth="1"/>
    <col min="3" max="4" width="15.77734375" style="64" customWidth="1"/>
    <col min="5" max="5" width="16.21875" style="64" customWidth="1"/>
    <col min="6" max="16384" width="8.88671875" style="64"/>
  </cols>
  <sheetData>
    <row r="1" spans="2:5" ht="15.75" x14ac:dyDescent="0.2">
      <c r="B1" s="47" t="str">
        <f>(inputPrYr!D3)</f>
        <v>Wellsville</v>
      </c>
      <c r="C1" s="28"/>
      <c r="D1" s="28"/>
      <c r="E1" s="133">
        <f>inputPrYr!$C$6</f>
        <v>2024</v>
      </c>
    </row>
    <row r="2" spans="2:5" ht="15.75" x14ac:dyDescent="0.2">
      <c r="B2" s="28"/>
      <c r="C2" s="28"/>
      <c r="D2" s="28"/>
      <c r="E2" s="107"/>
    </row>
    <row r="3" spans="2:5" ht="15.75" x14ac:dyDescent="0.2">
      <c r="B3" s="161" t="s">
        <v>124</v>
      </c>
      <c r="C3" s="201"/>
      <c r="D3" s="201"/>
      <c r="E3" s="202"/>
    </row>
    <row r="4" spans="2:5" ht="15.75" x14ac:dyDescent="0.2">
      <c r="B4" s="29" t="s">
        <v>59</v>
      </c>
      <c r="C4" s="442" t="s">
        <v>479</v>
      </c>
      <c r="D4" s="443" t="s">
        <v>480</v>
      </c>
      <c r="E4" s="87" t="s">
        <v>481</v>
      </c>
    </row>
    <row r="5" spans="2:5" ht="15.75" x14ac:dyDescent="0.2">
      <c r="B5" s="332" t="str">
        <f>(inputPrYr!B53)</f>
        <v>Community Enhanc Sales Tax</v>
      </c>
      <c r="C5" s="138" t="str">
        <f>CONCATENATE("Actual for ",E1-2,"")</f>
        <v>Actual for 2022</v>
      </c>
      <c r="D5" s="138" t="str">
        <f>CONCATENATE("Estimate for ",E1-1,"")</f>
        <v>Estimate for 2023</v>
      </c>
      <c r="E5" s="122" t="str">
        <f>CONCATENATE("Year for ",E1,"")</f>
        <v>Year for 2024</v>
      </c>
    </row>
    <row r="6" spans="2:5" ht="15.75" x14ac:dyDescent="0.2">
      <c r="B6" s="93" t="s">
        <v>137</v>
      </c>
      <c r="C6" s="39"/>
      <c r="D6" s="141">
        <f>C45</f>
        <v>0</v>
      </c>
      <c r="E6" s="141">
        <f>D45</f>
        <v>0</v>
      </c>
    </row>
    <row r="7" spans="2:5" ht="15.75" x14ac:dyDescent="0.2">
      <c r="B7" s="192" t="s">
        <v>139</v>
      </c>
      <c r="C7" s="52"/>
      <c r="D7" s="52"/>
      <c r="E7" s="52"/>
    </row>
    <row r="8" spans="2:5" ht="15.75" x14ac:dyDescent="0.2">
      <c r="B8" s="183"/>
      <c r="C8" s="171"/>
      <c r="D8" s="171"/>
      <c r="E8" s="171"/>
    </row>
    <row r="9" spans="2:5" ht="15.75" x14ac:dyDescent="0.2">
      <c r="B9" s="183"/>
      <c r="C9" s="171"/>
      <c r="D9" s="171"/>
      <c r="E9" s="171"/>
    </row>
    <row r="10" spans="2:5" ht="15.75" x14ac:dyDescent="0.2">
      <c r="B10" s="183"/>
      <c r="C10" s="171"/>
      <c r="D10" s="171"/>
      <c r="E10" s="171"/>
    </row>
    <row r="11" spans="2:5" ht="15.75" x14ac:dyDescent="0.2">
      <c r="B11" s="183"/>
      <c r="C11" s="171"/>
      <c r="D11" s="171"/>
      <c r="E11" s="171"/>
    </row>
    <row r="12" spans="2:5" ht="15.75" x14ac:dyDescent="0.2">
      <c r="B12" s="183"/>
      <c r="C12" s="171"/>
      <c r="D12" s="171"/>
      <c r="E12" s="171"/>
    </row>
    <row r="13" spans="2:5" ht="15.75" x14ac:dyDescent="0.2">
      <c r="B13" s="197"/>
      <c r="C13" s="66"/>
      <c r="D13" s="66"/>
      <c r="E13" s="66"/>
    </row>
    <row r="14" spans="2:5" ht="15.75" x14ac:dyDescent="0.2">
      <c r="B14" s="183"/>
      <c r="C14" s="171"/>
      <c r="D14" s="171"/>
      <c r="E14" s="171"/>
    </row>
    <row r="15" spans="2:5" ht="15.75" x14ac:dyDescent="0.2">
      <c r="B15" s="203" t="s">
        <v>67</v>
      </c>
      <c r="C15" s="171"/>
      <c r="D15" s="171"/>
      <c r="E15" s="171"/>
    </row>
    <row r="16" spans="2:5" ht="15.75" x14ac:dyDescent="0.2">
      <c r="B16" s="102" t="s">
        <v>9</v>
      </c>
      <c r="C16" s="171"/>
      <c r="D16" s="165"/>
      <c r="E16" s="165"/>
    </row>
    <row r="17" spans="2:5" ht="15.75" x14ac:dyDescent="0.2">
      <c r="B17" s="163" t="s">
        <v>352</v>
      </c>
      <c r="C17" s="204" t="str">
        <f>IF(C18*0.1&lt;C16,"Exceed 10% Rule","")</f>
        <v/>
      </c>
      <c r="D17" s="174" t="str">
        <f>IF(D18*0.1&lt;D16,"Exceed 10% Rule","")</f>
        <v/>
      </c>
      <c r="E17" s="174" t="str">
        <f>IF(E18*0.1&lt;E16,"Exceed 10% Rule","")</f>
        <v/>
      </c>
    </row>
    <row r="18" spans="2:5" ht="15.75" x14ac:dyDescent="0.2">
      <c r="B18" s="175" t="s">
        <v>68</v>
      </c>
      <c r="C18" s="178">
        <f>SUM(C8:C16)</f>
        <v>0</v>
      </c>
      <c r="D18" s="178">
        <f>SUM(D8:D16)</f>
        <v>0</v>
      </c>
      <c r="E18" s="178">
        <f>SUM(E8:E16)</f>
        <v>0</v>
      </c>
    </row>
    <row r="19" spans="2:5" ht="15.75" x14ac:dyDescent="0.2">
      <c r="B19" s="175" t="s">
        <v>69</v>
      </c>
      <c r="C19" s="178">
        <f>C6+C18</f>
        <v>0</v>
      </c>
      <c r="D19" s="178">
        <f>D6+D18</f>
        <v>0</v>
      </c>
      <c r="E19" s="178">
        <f>E6+E18</f>
        <v>0</v>
      </c>
    </row>
    <row r="20" spans="2:5" ht="15.75" x14ac:dyDescent="0.2">
      <c r="B20" s="93" t="s">
        <v>71</v>
      </c>
      <c r="C20" s="52"/>
      <c r="D20" s="52"/>
      <c r="E20" s="52"/>
    </row>
    <row r="21" spans="2:5" ht="15.75" x14ac:dyDescent="0.2">
      <c r="B21" s="183" t="s">
        <v>171</v>
      </c>
      <c r="C21" s="171"/>
      <c r="D21" s="171"/>
      <c r="E21" s="171"/>
    </row>
    <row r="22" spans="2:5" ht="15.75" x14ac:dyDescent="0.2">
      <c r="B22" s="183" t="s">
        <v>12</v>
      </c>
      <c r="C22" s="171"/>
      <c r="D22" s="171"/>
      <c r="E22" s="171"/>
    </row>
    <row r="23" spans="2:5" ht="15.75" x14ac:dyDescent="0.2">
      <c r="B23" s="183"/>
      <c r="C23" s="66"/>
      <c r="D23" s="66"/>
      <c r="E23" s="66"/>
    </row>
    <row r="24" spans="2:5" ht="15.75" x14ac:dyDescent="0.2">
      <c r="B24" s="183"/>
      <c r="C24" s="66"/>
      <c r="D24" s="66"/>
      <c r="E24" s="66"/>
    </row>
    <row r="25" spans="2:5" ht="15.75" x14ac:dyDescent="0.2">
      <c r="B25" s="183"/>
      <c r="C25" s="66"/>
      <c r="D25" s="66"/>
      <c r="E25" s="66"/>
    </row>
    <row r="26" spans="2:5" ht="15.75" x14ac:dyDescent="0.2">
      <c r="B26" s="183"/>
      <c r="C26" s="66"/>
      <c r="D26" s="66"/>
      <c r="E26" s="66"/>
    </row>
    <row r="27" spans="2:5" ht="15.75" x14ac:dyDescent="0.2">
      <c r="B27" s="183"/>
      <c r="C27" s="66"/>
      <c r="D27" s="66"/>
      <c r="E27" s="66"/>
    </row>
    <row r="28" spans="2:5" ht="15.75" x14ac:dyDescent="0.2">
      <c r="B28" s="183"/>
      <c r="C28" s="66"/>
      <c r="D28" s="66"/>
      <c r="E28" s="66"/>
    </row>
    <row r="29" spans="2:5" ht="15.75" x14ac:dyDescent="0.2">
      <c r="B29" s="183"/>
      <c r="C29" s="66"/>
      <c r="D29" s="66"/>
      <c r="E29" s="66"/>
    </row>
    <row r="30" spans="2:5" ht="15.75" x14ac:dyDescent="0.2">
      <c r="B30" s="183"/>
      <c r="C30" s="66"/>
      <c r="D30" s="66"/>
      <c r="E30" s="66"/>
    </row>
    <row r="31" spans="2:5" ht="15.75" x14ac:dyDescent="0.2">
      <c r="B31" s="183"/>
      <c r="C31" s="66"/>
      <c r="D31" s="66"/>
      <c r="E31" s="66"/>
    </row>
    <row r="32" spans="2:5" ht="15.75" x14ac:dyDescent="0.2">
      <c r="B32" s="183"/>
      <c r="C32" s="171"/>
      <c r="D32" s="171"/>
      <c r="E32" s="171"/>
    </row>
    <row r="33" spans="2:5" ht="15.75" x14ac:dyDescent="0.2">
      <c r="B33" s="183"/>
      <c r="C33" s="171"/>
      <c r="D33" s="171"/>
      <c r="E33" s="171"/>
    </row>
    <row r="34" spans="2:5" ht="15.75" x14ac:dyDescent="0.2">
      <c r="B34" s="183"/>
      <c r="C34" s="171"/>
      <c r="D34" s="171"/>
      <c r="E34" s="171"/>
    </row>
    <row r="35" spans="2:5" ht="15.75" x14ac:dyDescent="0.2">
      <c r="B35" s="183"/>
      <c r="C35" s="171"/>
      <c r="D35" s="171"/>
      <c r="E35" s="171"/>
    </row>
    <row r="36" spans="2:5" ht="15.75" x14ac:dyDescent="0.2">
      <c r="B36" s="183"/>
      <c r="C36" s="171"/>
      <c r="D36" s="171"/>
      <c r="E36" s="171"/>
    </row>
    <row r="37" spans="2:5" ht="15.75" x14ac:dyDescent="0.2">
      <c r="B37" s="183"/>
      <c r="C37" s="171"/>
      <c r="D37" s="171"/>
      <c r="E37" s="171"/>
    </row>
    <row r="38" spans="2:5" ht="15.75" x14ac:dyDescent="0.2">
      <c r="B38" s="183"/>
      <c r="C38" s="171"/>
      <c r="D38" s="171"/>
      <c r="E38" s="171"/>
    </row>
    <row r="39" spans="2:5" ht="15.75" x14ac:dyDescent="0.2">
      <c r="B39" s="183"/>
      <c r="C39" s="171"/>
      <c r="D39" s="171"/>
      <c r="E39" s="171"/>
    </row>
    <row r="40" spans="2:5" ht="15.75" x14ac:dyDescent="0.2">
      <c r="B40" s="183"/>
      <c r="C40" s="171"/>
      <c r="D40" s="171"/>
      <c r="E40" s="171"/>
    </row>
    <row r="41" spans="2:5" ht="15.75" x14ac:dyDescent="0.2">
      <c r="B41" s="184" t="str">
        <f>CONCATENATE("Cash Forward (",E1," column)")</f>
        <v>Cash Forward (2024 column)</v>
      </c>
      <c r="C41" s="171"/>
      <c r="D41" s="171"/>
      <c r="E41" s="171"/>
    </row>
    <row r="42" spans="2:5" ht="15.75" x14ac:dyDescent="0.2">
      <c r="B42" s="184" t="s">
        <v>9</v>
      </c>
      <c r="C42" s="171"/>
      <c r="D42" s="165"/>
      <c r="E42" s="165"/>
    </row>
    <row r="43" spans="2:5" ht="15.75" x14ac:dyDescent="0.2">
      <c r="B43" s="184" t="s">
        <v>353</v>
      </c>
      <c r="C43" s="204" t="str">
        <f>IF(C44*0.1&lt;C42,"Exceed 10% Rule","")</f>
        <v/>
      </c>
      <c r="D43" s="174" t="str">
        <f>IF(D44*0.1&lt;D42,"Exceed 10% Rule","")</f>
        <v/>
      </c>
      <c r="E43" s="174" t="str">
        <f>IF(E44*0.1&lt;E42,"Exceed 10% Rule","")</f>
        <v/>
      </c>
    </row>
    <row r="44" spans="2:5" ht="15.75" x14ac:dyDescent="0.2">
      <c r="B44" s="175" t="s">
        <v>75</v>
      </c>
      <c r="C44" s="178">
        <f>SUM(C21:C42)</f>
        <v>0</v>
      </c>
      <c r="D44" s="178">
        <f>SUM(D21:D42)</f>
        <v>0</v>
      </c>
      <c r="E44" s="178">
        <f>SUM(E21:E42)</f>
        <v>0</v>
      </c>
    </row>
    <row r="45" spans="2:5" ht="15.75" x14ac:dyDescent="0.2">
      <c r="B45" s="93" t="s">
        <v>138</v>
      </c>
      <c r="C45" s="50">
        <f>C19-C44</f>
        <v>0</v>
      </c>
      <c r="D45" s="50">
        <f>D19-D44</f>
        <v>0</v>
      </c>
      <c r="E45" s="50">
        <f>E19-E44</f>
        <v>0</v>
      </c>
    </row>
    <row r="46" spans="2:5" ht="15.75" x14ac:dyDescent="0.2">
      <c r="B46" s="108" t="str">
        <f>CONCATENATE("",E1-2,"/",E1-1,"/",E1," Budget Authority Amount:")</f>
        <v>2022/2023/2024 Budget Authority Amount:</v>
      </c>
      <c r="C46" s="446">
        <f>inputOth!B95</f>
        <v>192000</v>
      </c>
      <c r="D46" s="446">
        <f>inputPrYr!D53</f>
        <v>261289</v>
      </c>
      <c r="E46" s="458">
        <f>E44</f>
        <v>0</v>
      </c>
    </row>
    <row r="47" spans="2:5" ht="15.75" x14ac:dyDescent="0.2">
      <c r="B47" s="80"/>
      <c r="C47" s="186" t="str">
        <f>IF(C44&gt;C46,"See Tab A","")</f>
        <v/>
      </c>
      <c r="D47" s="186" t="str">
        <f>IF(D44&gt;D46,"See Tab C","")</f>
        <v/>
      </c>
      <c r="E47" s="459" t="str">
        <f>IF(E45&lt;0,"See Tab E","")</f>
        <v/>
      </c>
    </row>
    <row r="48" spans="2:5" ht="15.75" x14ac:dyDescent="0.2">
      <c r="B48" s="539" t="s">
        <v>539</v>
      </c>
      <c r="C48" s="528" t="str">
        <f>IF(C45&lt;0,"See Tab B","")</f>
        <v/>
      </c>
      <c r="D48" s="528" t="str">
        <f>IF(D45&lt;0,"See Tab D","")</f>
        <v/>
      </c>
      <c r="E48" s="532"/>
    </row>
    <row r="49" spans="2:5" ht="15.75" x14ac:dyDescent="0.2">
      <c r="B49" s="529"/>
      <c r="C49" s="186"/>
      <c r="D49" s="186"/>
      <c r="E49" s="533"/>
    </row>
    <row r="50" spans="2:5" ht="15.75" x14ac:dyDescent="0.2">
      <c r="B50" s="530"/>
      <c r="C50" s="531"/>
      <c r="D50" s="531"/>
      <c r="E50" s="73"/>
    </row>
    <row r="51" spans="2:5" x14ac:dyDescent="0.2">
      <c r="B51" s="40"/>
      <c r="C51" s="40"/>
      <c r="D51" s="40"/>
      <c r="E51" s="40"/>
    </row>
    <row r="52" spans="2:5" ht="15.75" x14ac:dyDescent="0.2">
      <c r="B52" s="272" t="s">
        <v>78</v>
      </c>
      <c r="C52" s="464"/>
      <c r="D52" s="40"/>
      <c r="E52" s="40"/>
    </row>
  </sheetData>
  <sheetProtection sheet="1" objects="1" scenarios="1"/>
  <phoneticPr fontId="8" type="noConversion"/>
  <conditionalFormatting sqref="C16">
    <cfRule type="cellIs" dxfId="23" priority="7" stopIfTrue="1" operator="greaterThan">
      <formula>$C$18*0.1</formula>
    </cfRule>
  </conditionalFormatting>
  <conditionalFormatting sqref="C42">
    <cfRule type="cellIs" dxfId="22" priority="8" stopIfTrue="1" operator="greaterThan">
      <formula>$C$44*0.1</formula>
    </cfRule>
  </conditionalFormatting>
  <conditionalFormatting sqref="C44">
    <cfRule type="cellIs" dxfId="21" priority="10" stopIfTrue="1" operator="greaterThan">
      <formula>$C$46</formula>
    </cfRule>
  </conditionalFormatting>
  <conditionalFormatting sqref="C45">
    <cfRule type="cellIs" dxfId="20" priority="11" stopIfTrue="1" operator="lessThan">
      <formula>0</formula>
    </cfRule>
  </conditionalFormatting>
  <conditionalFormatting sqref="D16">
    <cfRule type="cellIs" dxfId="19" priority="5" stopIfTrue="1" operator="greaterThan">
      <formula>$D$18*0.1</formula>
    </cfRule>
  </conditionalFormatting>
  <conditionalFormatting sqref="D42">
    <cfRule type="cellIs" dxfId="18" priority="6" stopIfTrue="1" operator="greaterThan">
      <formula>$D$44*0.1</formula>
    </cfRule>
  </conditionalFormatting>
  <conditionalFormatting sqref="D44">
    <cfRule type="cellIs" dxfId="17" priority="9" stopIfTrue="1" operator="greaterThan">
      <formula>$D$46</formula>
    </cfRule>
  </conditionalFormatting>
  <conditionalFormatting sqref="D45">
    <cfRule type="cellIs" dxfId="16" priority="2" stopIfTrue="1" operator="lessThan">
      <formula>0</formula>
    </cfRule>
  </conditionalFormatting>
  <conditionalFormatting sqref="E16">
    <cfRule type="cellIs" dxfId="15" priority="3" stopIfTrue="1" operator="greaterThan">
      <formula>$E$18*0.1</formula>
    </cfRule>
  </conditionalFormatting>
  <conditionalFormatting sqref="E42">
    <cfRule type="cellIs" dxfId="14" priority="4" stopIfTrue="1" operator="greaterThan">
      <formula>$E$44*0.1</formula>
    </cfRule>
  </conditionalFormatting>
  <conditionalFormatting sqref="E45:E46">
    <cfRule type="cellIs" dxfId="13"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E52"/>
  <sheetViews>
    <sheetView workbookViewId="0">
      <selection activeCell="F1" sqref="F1"/>
    </sheetView>
  </sheetViews>
  <sheetFormatPr defaultColWidth="8.88671875" defaultRowHeight="15" x14ac:dyDescent="0.2"/>
  <cols>
    <col min="1" max="1" width="2.44140625" style="64" customWidth="1"/>
    <col min="2" max="2" width="31.109375" style="64" customWidth="1"/>
    <col min="3" max="4" width="15.77734375" style="64" customWidth="1"/>
    <col min="5" max="5" width="16.44140625" style="64" customWidth="1"/>
    <col min="6" max="16384" width="8.88671875" style="64"/>
  </cols>
  <sheetData>
    <row r="1" spans="2:5" ht="15.75" x14ac:dyDescent="0.2">
      <c r="B1" s="47" t="str">
        <f>(inputPrYr!D3)</f>
        <v>Wellsville</v>
      </c>
      <c r="C1" s="28"/>
      <c r="D1" s="28"/>
      <c r="E1" s="133">
        <f>inputPrYr!$C$6</f>
        <v>2024</v>
      </c>
    </row>
    <row r="2" spans="2:5" ht="15.75" x14ac:dyDescent="0.2">
      <c r="B2" s="28"/>
      <c r="C2" s="28"/>
      <c r="D2" s="28"/>
      <c r="E2" s="107"/>
    </row>
    <row r="3" spans="2:5" ht="15.75" x14ac:dyDescent="0.2">
      <c r="B3" s="161" t="s">
        <v>124</v>
      </c>
      <c r="C3" s="201"/>
      <c r="D3" s="201"/>
      <c r="E3" s="202"/>
    </row>
    <row r="4" spans="2:5" ht="15.75" x14ac:dyDescent="0.2">
      <c r="B4" s="29" t="s">
        <v>59</v>
      </c>
      <c r="C4" s="442" t="s">
        <v>479</v>
      </c>
      <c r="D4" s="443" t="s">
        <v>480</v>
      </c>
      <c r="E4" s="87" t="s">
        <v>481</v>
      </c>
    </row>
    <row r="5" spans="2:5" ht="15.75" x14ac:dyDescent="0.2">
      <c r="B5" s="332" t="str">
        <f>(inputPrYr!B54)</f>
        <v>Water/Sewer/Refuse Utitly</v>
      </c>
      <c r="C5" s="138" t="str">
        <f>CONCATENATE("Actual for ",E1-2,"")</f>
        <v>Actual for 2022</v>
      </c>
      <c r="D5" s="138" t="str">
        <f>CONCATENATE("Estimate for ",E1-1,"")</f>
        <v>Estimate for 2023</v>
      </c>
      <c r="E5" s="122" t="str">
        <f>CONCATENATE("Year for ",E1,"")</f>
        <v>Year for 2024</v>
      </c>
    </row>
    <row r="6" spans="2:5" ht="15.75" x14ac:dyDescent="0.2">
      <c r="B6" s="93" t="s">
        <v>137</v>
      </c>
      <c r="C6" s="168"/>
      <c r="D6" s="166">
        <f>C45</f>
        <v>0</v>
      </c>
      <c r="E6" s="141">
        <f>D45</f>
        <v>0</v>
      </c>
    </row>
    <row r="7" spans="2:5" ht="15.75" x14ac:dyDescent="0.2">
      <c r="B7" s="192" t="s">
        <v>139</v>
      </c>
      <c r="C7" s="102"/>
      <c r="D7" s="102"/>
      <c r="E7" s="52"/>
    </row>
    <row r="8" spans="2:5" ht="15.75" x14ac:dyDescent="0.2">
      <c r="B8" s="183"/>
      <c r="C8" s="168"/>
      <c r="D8" s="168"/>
      <c r="E8" s="171"/>
    </row>
    <row r="9" spans="2:5" ht="15.75" x14ac:dyDescent="0.2">
      <c r="B9" s="183"/>
      <c r="C9" s="168"/>
      <c r="D9" s="168"/>
      <c r="E9" s="171"/>
    </row>
    <row r="10" spans="2:5" ht="15.75" x14ac:dyDescent="0.2">
      <c r="B10" s="183"/>
      <c r="C10" s="168"/>
      <c r="D10" s="168"/>
      <c r="E10" s="171"/>
    </row>
    <row r="11" spans="2:5" ht="15.75" x14ac:dyDescent="0.2">
      <c r="B11" s="183"/>
      <c r="C11" s="168"/>
      <c r="D11" s="168"/>
      <c r="E11" s="171"/>
    </row>
    <row r="12" spans="2:5" ht="15.75" x14ac:dyDescent="0.2">
      <c r="B12" s="183"/>
      <c r="C12" s="168"/>
      <c r="D12" s="168"/>
      <c r="E12" s="171"/>
    </row>
    <row r="13" spans="2:5" ht="15.75" x14ac:dyDescent="0.2">
      <c r="B13" s="197"/>
      <c r="C13" s="168"/>
      <c r="D13" s="168"/>
      <c r="E13" s="66"/>
    </row>
    <row r="14" spans="2:5" ht="15.75" x14ac:dyDescent="0.2">
      <c r="B14" s="183"/>
      <c r="C14" s="168"/>
      <c r="D14" s="168"/>
      <c r="E14" s="171"/>
    </row>
    <row r="15" spans="2:5" ht="15.75" x14ac:dyDescent="0.2">
      <c r="B15" s="203" t="s">
        <v>67</v>
      </c>
      <c r="C15" s="168"/>
      <c r="D15" s="168"/>
      <c r="E15" s="171"/>
    </row>
    <row r="16" spans="2:5" ht="15.75" x14ac:dyDescent="0.2">
      <c r="B16" s="102" t="s">
        <v>9</v>
      </c>
      <c r="C16" s="168"/>
      <c r="D16" s="168"/>
      <c r="E16" s="171"/>
    </row>
    <row r="17" spans="2:5" ht="15.75" x14ac:dyDescent="0.2">
      <c r="B17" s="163" t="s">
        <v>352</v>
      </c>
      <c r="C17" s="173" t="str">
        <f>IF(C18*0.1&lt;C16,"Exceed 10% Rule","")</f>
        <v/>
      </c>
      <c r="D17" s="173" t="str">
        <f>IF(D18*0.1&lt;D16,"Exceed 10% Rule","")</f>
        <v/>
      </c>
      <c r="E17" s="204" t="str">
        <f>IF(E18*0.1&lt;E16,"Exceed 10% Rule","")</f>
        <v/>
      </c>
    </row>
    <row r="18" spans="2:5" ht="15.75" x14ac:dyDescent="0.2">
      <c r="B18" s="175" t="s">
        <v>68</v>
      </c>
      <c r="C18" s="177">
        <f>SUM(C8:C16)</f>
        <v>0</v>
      </c>
      <c r="D18" s="177">
        <f>SUM(D8:D16)</f>
        <v>0</v>
      </c>
      <c r="E18" s="178">
        <f>SUM(E8:E16)</f>
        <v>0</v>
      </c>
    </row>
    <row r="19" spans="2:5" ht="15.75" x14ac:dyDescent="0.2">
      <c r="B19" s="175" t="s">
        <v>69</v>
      </c>
      <c r="C19" s="177">
        <f>C6+C18</f>
        <v>0</v>
      </c>
      <c r="D19" s="177">
        <f>D6+D18</f>
        <v>0</v>
      </c>
      <c r="E19" s="178">
        <f>E6+E18</f>
        <v>0</v>
      </c>
    </row>
    <row r="20" spans="2:5" ht="15.75" x14ac:dyDescent="0.2">
      <c r="B20" s="93" t="s">
        <v>71</v>
      </c>
      <c r="C20" s="102"/>
      <c r="D20" s="102"/>
      <c r="E20" s="52"/>
    </row>
    <row r="21" spans="2:5" ht="15.75" x14ac:dyDescent="0.2">
      <c r="B21" s="183" t="s">
        <v>171</v>
      </c>
      <c r="C21" s="168"/>
      <c r="D21" s="168"/>
      <c r="E21" s="171"/>
    </row>
    <row r="22" spans="2:5" ht="15.75" x14ac:dyDescent="0.2">
      <c r="B22" s="183" t="s">
        <v>11</v>
      </c>
      <c r="C22" s="168"/>
      <c r="D22" s="168"/>
      <c r="E22" s="171"/>
    </row>
    <row r="23" spans="2:5" ht="15.75" x14ac:dyDescent="0.2">
      <c r="B23" s="183"/>
      <c r="C23" s="168"/>
      <c r="D23" s="168"/>
      <c r="E23" s="66"/>
    </row>
    <row r="24" spans="2:5" ht="15.75" x14ac:dyDescent="0.2">
      <c r="B24" s="183"/>
      <c r="C24" s="168"/>
      <c r="D24" s="168"/>
      <c r="E24" s="66"/>
    </row>
    <row r="25" spans="2:5" ht="15.75" x14ac:dyDescent="0.2">
      <c r="B25" s="183"/>
      <c r="C25" s="168"/>
      <c r="D25" s="168"/>
      <c r="E25" s="66"/>
    </row>
    <row r="26" spans="2:5" ht="15.75" x14ac:dyDescent="0.2">
      <c r="B26" s="183"/>
      <c r="C26" s="168"/>
      <c r="D26" s="168"/>
      <c r="E26" s="66"/>
    </row>
    <row r="27" spans="2:5" ht="15.75" x14ac:dyDescent="0.2">
      <c r="B27" s="183"/>
      <c r="C27" s="168"/>
      <c r="D27" s="168"/>
      <c r="E27" s="66"/>
    </row>
    <row r="28" spans="2:5" ht="15.75" x14ac:dyDescent="0.2">
      <c r="B28" s="183"/>
      <c r="C28" s="168"/>
      <c r="D28" s="168"/>
      <c r="E28" s="66"/>
    </row>
    <row r="29" spans="2:5" ht="15.75" x14ac:dyDescent="0.2">
      <c r="B29" s="183"/>
      <c r="C29" s="168"/>
      <c r="D29" s="168"/>
      <c r="E29" s="66"/>
    </row>
    <row r="30" spans="2:5" ht="15.75" x14ac:dyDescent="0.2">
      <c r="B30" s="183"/>
      <c r="C30" s="168"/>
      <c r="D30" s="168"/>
      <c r="E30" s="66"/>
    </row>
    <row r="31" spans="2:5" ht="15.75" x14ac:dyDescent="0.2">
      <c r="B31" s="183"/>
      <c r="C31" s="168"/>
      <c r="D31" s="168"/>
      <c r="E31" s="66"/>
    </row>
    <row r="32" spans="2:5" ht="15.75" x14ac:dyDescent="0.2">
      <c r="B32" s="183"/>
      <c r="C32" s="168"/>
      <c r="D32" s="168"/>
      <c r="E32" s="171"/>
    </row>
    <row r="33" spans="2:5" ht="15.75" x14ac:dyDescent="0.2">
      <c r="B33" s="183"/>
      <c r="C33" s="168"/>
      <c r="D33" s="168"/>
      <c r="E33" s="171"/>
    </row>
    <row r="34" spans="2:5" ht="15.75" x14ac:dyDescent="0.2">
      <c r="B34" s="183"/>
      <c r="C34" s="168"/>
      <c r="D34" s="168"/>
      <c r="E34" s="171"/>
    </row>
    <row r="35" spans="2:5" ht="15.75" x14ac:dyDescent="0.2">
      <c r="B35" s="183"/>
      <c r="C35" s="168"/>
      <c r="D35" s="168"/>
      <c r="E35" s="171"/>
    </row>
    <row r="36" spans="2:5" ht="15.75" x14ac:dyDescent="0.2">
      <c r="B36" s="183"/>
      <c r="C36" s="168"/>
      <c r="D36" s="168"/>
      <c r="E36" s="171"/>
    </row>
    <row r="37" spans="2:5" ht="15.75" x14ac:dyDescent="0.2">
      <c r="B37" s="183"/>
      <c r="C37" s="168"/>
      <c r="D37" s="168"/>
      <c r="E37" s="171"/>
    </row>
    <row r="38" spans="2:5" ht="15.75" x14ac:dyDescent="0.2">
      <c r="B38" s="183"/>
      <c r="C38" s="168"/>
      <c r="D38" s="168"/>
      <c r="E38" s="171"/>
    </row>
    <row r="39" spans="2:5" ht="15.75" x14ac:dyDescent="0.2">
      <c r="B39" s="183"/>
      <c r="C39" s="168"/>
      <c r="D39" s="168"/>
      <c r="E39" s="171"/>
    </row>
    <row r="40" spans="2:5" ht="15.75" x14ac:dyDescent="0.2">
      <c r="B40" s="183"/>
      <c r="C40" s="168"/>
      <c r="D40" s="168"/>
      <c r="E40" s="171"/>
    </row>
    <row r="41" spans="2:5" ht="15.75" x14ac:dyDescent="0.2">
      <c r="B41" s="184" t="str">
        <f>CONCATENATE("Cash Forward (",E1," column)")</f>
        <v>Cash Forward (2024 column)</v>
      </c>
      <c r="C41" s="168"/>
      <c r="D41" s="168"/>
      <c r="E41" s="171"/>
    </row>
    <row r="42" spans="2:5" ht="15.75" x14ac:dyDescent="0.2">
      <c r="B42" s="184" t="s">
        <v>9</v>
      </c>
      <c r="C42" s="168"/>
      <c r="D42" s="168"/>
      <c r="E42" s="171"/>
    </row>
    <row r="43" spans="2:5" ht="15.75" x14ac:dyDescent="0.2">
      <c r="B43" s="184" t="s">
        <v>353</v>
      </c>
      <c r="C43" s="173" t="str">
        <f>IF(C44*0.1&lt;C42,"Exceed 10% Rule","")</f>
        <v/>
      </c>
      <c r="D43" s="173" t="str">
        <f>IF(D44*0.1&lt;D42,"Exceed 10% Rule","")</f>
        <v/>
      </c>
      <c r="E43" s="204" t="str">
        <f>IF(E44*0.1&lt;E42,"Exceed 10% Rule","")</f>
        <v/>
      </c>
    </row>
    <row r="44" spans="2:5" ht="15.75" x14ac:dyDescent="0.2">
      <c r="B44" s="175" t="s">
        <v>75</v>
      </c>
      <c r="C44" s="177">
        <f>SUM(C21:C42)</f>
        <v>0</v>
      </c>
      <c r="D44" s="177">
        <f>SUM(D21:D42)</f>
        <v>0</v>
      </c>
      <c r="E44" s="178">
        <f>SUM(E21:E42)</f>
        <v>0</v>
      </c>
    </row>
    <row r="45" spans="2:5" ht="15.75" x14ac:dyDescent="0.2">
      <c r="B45" s="93" t="s">
        <v>138</v>
      </c>
      <c r="C45" s="181">
        <f>C19-C44</f>
        <v>0</v>
      </c>
      <c r="D45" s="181">
        <f>D19-D44</f>
        <v>0</v>
      </c>
      <c r="E45" s="50">
        <f>E19-E44</f>
        <v>0</v>
      </c>
    </row>
    <row r="46" spans="2:5" ht="15.75" x14ac:dyDescent="0.2">
      <c r="B46" s="108" t="str">
        <f>CONCATENATE("",E1-2,"/",E1-1,"/",E1," Budget Authority Amount:")</f>
        <v>2022/2023/2024 Budget Authority Amount:</v>
      </c>
      <c r="C46" s="446">
        <f>inputOth!B96</f>
        <v>1136443</v>
      </c>
      <c r="D46" s="446">
        <f>inputPrYr!D54</f>
        <v>1131143</v>
      </c>
      <c r="E46" s="458">
        <f>E44</f>
        <v>0</v>
      </c>
    </row>
    <row r="47" spans="2:5" ht="15.75" x14ac:dyDescent="0.2">
      <c r="B47" s="80"/>
      <c r="C47" s="186" t="str">
        <f>IF(C44&gt;C46,"See Tab A","")</f>
        <v/>
      </c>
      <c r="D47" s="186" t="str">
        <f>IF(D44&gt;D46,"See Tab C","")</f>
        <v/>
      </c>
      <c r="E47" s="459" t="str">
        <f>IF(E45&lt;0,"See Tab E","")</f>
        <v/>
      </c>
    </row>
    <row r="48" spans="2:5" ht="15.75" x14ac:dyDescent="0.2">
      <c r="B48" s="539" t="s">
        <v>539</v>
      </c>
      <c r="C48" s="528" t="str">
        <f>IF(C45&lt;0,"See Tab B","")</f>
        <v/>
      </c>
      <c r="D48" s="528" t="str">
        <f>IF(D45&lt;0,"See Tab D","")</f>
        <v/>
      </c>
      <c r="E48" s="532"/>
    </row>
    <row r="49" spans="2:5" ht="15.75" x14ac:dyDescent="0.2">
      <c r="B49" s="529"/>
      <c r="C49" s="186"/>
      <c r="D49" s="186"/>
      <c r="E49" s="533"/>
    </row>
    <row r="50" spans="2:5" ht="15.75" x14ac:dyDescent="0.2">
      <c r="B50" s="530"/>
      <c r="C50" s="531"/>
      <c r="D50" s="531"/>
      <c r="E50" s="73"/>
    </row>
    <row r="51" spans="2:5" x14ac:dyDescent="0.2">
      <c r="B51" s="40"/>
      <c r="C51" s="40"/>
      <c r="D51" s="40"/>
      <c r="E51" s="40"/>
    </row>
    <row r="52" spans="2:5" ht="15.75" x14ac:dyDescent="0.2">
      <c r="B52" s="272" t="s">
        <v>78</v>
      </c>
      <c r="C52" s="464"/>
      <c r="D52" s="40"/>
      <c r="E52" s="40"/>
    </row>
  </sheetData>
  <sheetProtection sheet="1" objects="1" scenarios="1"/>
  <phoneticPr fontId="8" type="noConversion"/>
  <conditionalFormatting sqref="C16">
    <cfRule type="cellIs" dxfId="12" priority="2" stopIfTrue="1" operator="greaterThan">
      <formula>$C$18*0.1</formula>
    </cfRule>
  </conditionalFormatting>
  <conditionalFormatting sqref="C42">
    <cfRule type="cellIs" dxfId="11" priority="7" stopIfTrue="1" operator="greaterThan">
      <formula>$C$44*0.1</formula>
    </cfRule>
  </conditionalFormatting>
  <conditionalFormatting sqref="C44">
    <cfRule type="cellIs" dxfId="10" priority="10" stopIfTrue="1" operator="greaterThan">
      <formula>$C$46</formula>
    </cfRule>
  </conditionalFormatting>
  <conditionalFormatting sqref="C45">
    <cfRule type="cellIs" dxfId="9" priority="11" stopIfTrue="1" operator="lessThan">
      <formula>0</formula>
    </cfRule>
  </conditionalFormatting>
  <conditionalFormatting sqref="D16">
    <cfRule type="cellIs" dxfId="8" priority="3" stopIfTrue="1" operator="greaterThan">
      <formula>$D$18*0.1</formula>
    </cfRule>
  </conditionalFormatting>
  <conditionalFormatting sqref="D42">
    <cfRule type="cellIs" dxfId="7" priority="8" stopIfTrue="1" operator="greaterThan">
      <formula>$D$44*0.1</formula>
    </cfRule>
  </conditionalFormatting>
  <conditionalFormatting sqref="D44">
    <cfRule type="cellIs" dxfId="6" priority="9" stopIfTrue="1" operator="greaterThan">
      <formula>$D$46</formula>
    </cfRule>
  </conditionalFormatting>
  <conditionalFormatting sqref="D45">
    <cfRule type="cellIs" dxfId="5" priority="4" stopIfTrue="1" operator="lessThan">
      <formula>0</formula>
    </cfRule>
  </conditionalFormatting>
  <conditionalFormatting sqref="E16">
    <cfRule type="cellIs" dxfId="4" priority="5" stopIfTrue="1" operator="greaterThan">
      <formula>$E$18*0.1</formula>
    </cfRule>
  </conditionalFormatting>
  <conditionalFormatting sqref="E42">
    <cfRule type="cellIs" dxfId="3" priority="6" stopIfTrue="1" operator="greaterThan">
      <formula>$E$44*0.1</formula>
    </cfRule>
  </conditionalFormatting>
  <conditionalFormatting sqref="E45:E46">
    <cfRule type="cellIs" dxfId="2"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45"/>
  <sheetViews>
    <sheetView workbookViewId="0">
      <selection activeCell="L1" sqref="L1"/>
    </sheetView>
  </sheetViews>
  <sheetFormatPr defaultColWidth="8.88671875" defaultRowHeight="15.75" x14ac:dyDescent="0.2"/>
  <cols>
    <col min="1" max="1" width="11.5546875" style="24" customWidth="1"/>
    <col min="2" max="2" width="7.44140625" style="24" customWidth="1"/>
    <col min="3" max="3" width="11.5546875" style="24" customWidth="1"/>
    <col min="4" max="4" width="7.44140625" style="24" customWidth="1"/>
    <col min="5" max="5" width="11.5546875" style="24" customWidth="1"/>
    <col min="6" max="6" width="7.44140625" style="24" customWidth="1"/>
    <col min="7" max="7" width="11.5546875" style="24" customWidth="1"/>
    <col min="8" max="8" width="7.44140625" style="24" customWidth="1"/>
    <col min="9" max="9" width="11.5546875" style="24" customWidth="1"/>
    <col min="10" max="16384" width="8.88671875" style="24"/>
  </cols>
  <sheetData>
    <row r="1" spans="1:11" x14ac:dyDescent="0.2">
      <c r="A1" s="47" t="str">
        <f>inputPrYr!$D$3</f>
        <v>Wellsville</v>
      </c>
      <c r="B1" s="109"/>
      <c r="C1" s="28"/>
      <c r="D1" s="28"/>
      <c r="E1" s="28"/>
      <c r="F1" s="110" t="s">
        <v>149</v>
      </c>
      <c r="G1" s="28"/>
      <c r="H1" s="28"/>
      <c r="I1" s="28"/>
      <c r="J1" s="28"/>
      <c r="K1" s="28">
        <f>inputPrYr!$C$6</f>
        <v>2024</v>
      </c>
    </row>
    <row r="2" spans="1:11" x14ac:dyDescent="0.2">
      <c r="A2" s="28"/>
      <c r="B2" s="28"/>
      <c r="C2" s="28"/>
      <c r="D2" s="28"/>
      <c r="E2" s="28"/>
      <c r="F2" s="205" t="str">
        <f>CONCATENATE("(Only the actual budget year for ",K1-2," is reported)")</f>
        <v>(Only the actual budget year for 2022 is reported)</v>
      </c>
      <c r="G2" s="28"/>
      <c r="H2" s="28"/>
      <c r="I2" s="28"/>
      <c r="J2" s="28"/>
      <c r="K2" s="28"/>
    </row>
    <row r="3" spans="1:11" x14ac:dyDescent="0.2">
      <c r="A3" s="28" t="s">
        <v>190</v>
      </c>
      <c r="B3" s="28"/>
      <c r="C3" s="28"/>
      <c r="D3" s="28"/>
      <c r="E3" s="28"/>
      <c r="F3" s="68"/>
      <c r="G3" s="28"/>
      <c r="H3" s="28"/>
      <c r="I3" s="28"/>
      <c r="J3" s="28"/>
      <c r="K3" s="28"/>
    </row>
    <row r="4" spans="1:11" x14ac:dyDescent="0.2">
      <c r="A4" s="28" t="s">
        <v>150</v>
      </c>
      <c r="B4" s="28"/>
      <c r="C4" s="28" t="s">
        <v>151</v>
      </c>
      <c r="D4" s="28"/>
      <c r="E4" s="28" t="s">
        <v>152</v>
      </c>
      <c r="F4" s="109"/>
      <c r="G4" s="28" t="s">
        <v>153</v>
      </c>
      <c r="H4" s="28"/>
      <c r="I4" s="28" t="s">
        <v>154</v>
      </c>
      <c r="J4" s="28"/>
      <c r="K4" s="28"/>
    </row>
    <row r="5" spans="1:11" x14ac:dyDescent="0.2">
      <c r="A5" s="725" t="str">
        <f>IF(inputPrYr!B58&gt;" ",(inputPrYr!B58)," ")</f>
        <v>Street Improvement Reserve</v>
      </c>
      <c r="B5" s="726"/>
      <c r="C5" s="725" t="str">
        <f>IF(inputPrYr!B59&gt;" ",(inputPrYr!B59)," ")</f>
        <v>Public Works Equip Reserve</v>
      </c>
      <c r="D5" s="726"/>
      <c r="E5" s="725" t="str">
        <f>IF(inputPrYr!B60&gt;" ",(inputPrYr!B60)," ")</f>
        <v>Water/Sewer/Refuse Utitly</v>
      </c>
      <c r="F5" s="726"/>
      <c r="G5" s="725" t="str">
        <f>IF(inputPrYr!B61&gt;" ",(inputPrYr!B61)," ")</f>
        <v>Cap Improve Design</v>
      </c>
      <c r="H5" s="726"/>
      <c r="I5" s="725" t="str">
        <f>IF(inputPrYr!B62&gt;" ",(inputPrYr!B62)," ")</f>
        <v>Payroll Clearing/Court Bonds</v>
      </c>
      <c r="J5" s="726"/>
      <c r="K5" s="43"/>
    </row>
    <row r="6" spans="1:11" x14ac:dyDescent="0.2">
      <c r="A6" s="206" t="s">
        <v>155</v>
      </c>
      <c r="B6" s="207"/>
      <c r="C6" s="208" t="s">
        <v>155</v>
      </c>
      <c r="D6" s="209"/>
      <c r="E6" s="208" t="s">
        <v>155</v>
      </c>
      <c r="F6" s="103"/>
      <c r="G6" s="208" t="s">
        <v>155</v>
      </c>
      <c r="H6" s="54"/>
      <c r="I6" s="208" t="s">
        <v>155</v>
      </c>
      <c r="J6" s="28"/>
      <c r="K6" s="99" t="s">
        <v>35</v>
      </c>
    </row>
    <row r="7" spans="1:11" x14ac:dyDescent="0.2">
      <c r="A7" s="210" t="s">
        <v>10</v>
      </c>
      <c r="B7" s="211"/>
      <c r="C7" s="212" t="s">
        <v>10</v>
      </c>
      <c r="D7" s="211"/>
      <c r="E7" s="212" t="s">
        <v>10</v>
      </c>
      <c r="F7" s="211"/>
      <c r="G7" s="212" t="s">
        <v>10</v>
      </c>
      <c r="H7" s="211"/>
      <c r="I7" s="212" t="s">
        <v>10</v>
      </c>
      <c r="J7" s="211"/>
      <c r="K7" s="213">
        <f>SUM(B7+D7+F7+H7+J7)</f>
        <v>0</v>
      </c>
    </row>
    <row r="8" spans="1:11" x14ac:dyDescent="0.2">
      <c r="A8" s="214" t="s">
        <v>139</v>
      </c>
      <c r="B8" s="215"/>
      <c r="C8" s="214" t="s">
        <v>139</v>
      </c>
      <c r="D8" s="216"/>
      <c r="E8" s="214" t="s">
        <v>139</v>
      </c>
      <c r="F8" s="109"/>
      <c r="G8" s="214" t="s">
        <v>139</v>
      </c>
      <c r="H8" s="28"/>
      <c r="I8" s="214" t="s">
        <v>139</v>
      </c>
      <c r="J8" s="28"/>
      <c r="K8" s="109"/>
    </row>
    <row r="9" spans="1:11" x14ac:dyDescent="0.2">
      <c r="A9" s="217"/>
      <c r="B9" s="211"/>
      <c r="C9" s="217"/>
      <c r="D9" s="211"/>
      <c r="E9" s="217"/>
      <c r="F9" s="211"/>
      <c r="G9" s="217"/>
      <c r="H9" s="211"/>
      <c r="I9" s="217"/>
      <c r="J9" s="211"/>
      <c r="K9" s="109"/>
    </row>
    <row r="10" spans="1:11" x14ac:dyDescent="0.2">
      <c r="A10" s="217"/>
      <c r="B10" s="211"/>
      <c r="C10" s="217"/>
      <c r="D10" s="211"/>
      <c r="E10" s="217"/>
      <c r="F10" s="211"/>
      <c r="G10" s="217"/>
      <c r="H10" s="211"/>
      <c r="I10" s="217"/>
      <c r="J10" s="211"/>
      <c r="K10" s="109"/>
    </row>
    <row r="11" spans="1:11" x14ac:dyDescent="0.2">
      <c r="A11" s="217"/>
      <c r="B11" s="211"/>
      <c r="C11" s="218"/>
      <c r="D11" s="211"/>
      <c r="E11" s="218"/>
      <c r="F11" s="211"/>
      <c r="G11" s="218"/>
      <c r="H11" s="211"/>
      <c r="I11" s="219"/>
      <c r="J11" s="211"/>
      <c r="K11" s="109"/>
    </row>
    <row r="12" spans="1:11" x14ac:dyDescent="0.2">
      <c r="A12" s="217"/>
      <c r="B12" s="211"/>
      <c r="C12" s="217"/>
      <c r="D12" s="211"/>
      <c r="E12" s="220"/>
      <c r="F12" s="211"/>
      <c r="G12" s="220"/>
      <c r="H12" s="211"/>
      <c r="I12" s="220"/>
      <c r="J12" s="211"/>
      <c r="K12" s="109"/>
    </row>
    <row r="13" spans="1:11" x14ac:dyDescent="0.2">
      <c r="A13" s="221"/>
      <c r="B13" s="211"/>
      <c r="C13" s="222"/>
      <c r="D13" s="211"/>
      <c r="E13" s="222"/>
      <c r="F13" s="211"/>
      <c r="G13" s="222"/>
      <c r="H13" s="211"/>
      <c r="I13" s="219"/>
      <c r="J13" s="211"/>
      <c r="K13" s="109"/>
    </row>
    <row r="14" spans="1:11" x14ac:dyDescent="0.2">
      <c r="A14" s="217"/>
      <c r="B14" s="211"/>
      <c r="C14" s="220"/>
      <c r="D14" s="211"/>
      <c r="E14" s="220"/>
      <c r="F14" s="211"/>
      <c r="G14" s="220"/>
      <c r="H14" s="211"/>
      <c r="I14" s="220"/>
      <c r="J14" s="211"/>
      <c r="K14" s="109"/>
    </row>
    <row r="15" spans="1:11" x14ac:dyDescent="0.2">
      <c r="A15" s="217"/>
      <c r="B15" s="211"/>
      <c r="C15" s="220"/>
      <c r="D15" s="211"/>
      <c r="E15" s="220"/>
      <c r="F15" s="211"/>
      <c r="G15" s="220"/>
      <c r="H15" s="211"/>
      <c r="I15" s="220"/>
      <c r="J15" s="211"/>
      <c r="K15" s="109"/>
    </row>
    <row r="16" spans="1:11" x14ac:dyDescent="0.2">
      <c r="A16" s="217"/>
      <c r="B16" s="211"/>
      <c r="C16" s="217"/>
      <c r="D16" s="211"/>
      <c r="E16" s="217"/>
      <c r="F16" s="211"/>
      <c r="G16" s="220"/>
      <c r="H16" s="211"/>
      <c r="I16" s="217"/>
      <c r="J16" s="211"/>
      <c r="K16" s="109"/>
    </row>
    <row r="17" spans="1:12" x14ac:dyDescent="0.2">
      <c r="A17" s="214" t="s">
        <v>68</v>
      </c>
      <c r="B17" s="213">
        <f>SUM(B9:B16)</f>
        <v>0</v>
      </c>
      <c r="C17" s="214" t="s">
        <v>68</v>
      </c>
      <c r="D17" s="213">
        <f>SUM(D9:D16)</f>
        <v>0</v>
      </c>
      <c r="E17" s="214" t="s">
        <v>68</v>
      </c>
      <c r="F17" s="252">
        <f>SUM(F9:F16)</f>
        <v>0</v>
      </c>
      <c r="G17" s="214" t="s">
        <v>68</v>
      </c>
      <c r="H17" s="213">
        <f>SUM(H9:H16)</f>
        <v>0</v>
      </c>
      <c r="I17" s="214" t="s">
        <v>68</v>
      </c>
      <c r="J17" s="213">
        <f>SUM(J9:J16)</f>
        <v>0</v>
      </c>
      <c r="K17" s="213">
        <f>SUM(B17+D17+F17+H17+J17)</f>
        <v>0</v>
      </c>
    </row>
    <row r="18" spans="1:12" x14ac:dyDescent="0.2">
      <c r="A18" s="214" t="s">
        <v>69</v>
      </c>
      <c r="B18" s="213">
        <f>SUM(B7+B17)</f>
        <v>0</v>
      </c>
      <c r="C18" s="214" t="s">
        <v>69</v>
      </c>
      <c r="D18" s="213">
        <f>SUM(D7+D17)</f>
        <v>0</v>
      </c>
      <c r="E18" s="214" t="s">
        <v>69</v>
      </c>
      <c r="F18" s="213">
        <f>SUM(F7+F17)</f>
        <v>0</v>
      </c>
      <c r="G18" s="214" t="s">
        <v>69</v>
      </c>
      <c r="H18" s="213">
        <f>SUM(H7+H17)</f>
        <v>0</v>
      </c>
      <c r="I18" s="214" t="s">
        <v>69</v>
      </c>
      <c r="J18" s="213">
        <f>SUM(J7+J17)</f>
        <v>0</v>
      </c>
      <c r="K18" s="213">
        <f>SUM(B18+D18+F18+H18+J18)</f>
        <v>0</v>
      </c>
    </row>
    <row r="19" spans="1:12" x14ac:dyDescent="0.2">
      <c r="A19" s="214" t="s">
        <v>71</v>
      </c>
      <c r="B19" s="215"/>
      <c r="C19" s="214" t="s">
        <v>71</v>
      </c>
      <c r="D19" s="216"/>
      <c r="E19" s="214" t="s">
        <v>71</v>
      </c>
      <c r="F19" s="109"/>
      <c r="G19" s="214" t="s">
        <v>71</v>
      </c>
      <c r="H19" s="28"/>
      <c r="I19" s="214" t="s">
        <v>71</v>
      </c>
      <c r="J19" s="28"/>
      <c r="K19" s="109"/>
    </row>
    <row r="20" spans="1:12" x14ac:dyDescent="0.2">
      <c r="A20" s="217"/>
      <c r="B20" s="211"/>
      <c r="C20" s="220"/>
      <c r="D20" s="211"/>
      <c r="E20" s="220"/>
      <c r="F20" s="211"/>
      <c r="G20" s="220"/>
      <c r="H20" s="211"/>
      <c r="I20" s="220"/>
      <c r="J20" s="211"/>
      <c r="K20" s="109"/>
    </row>
    <row r="21" spans="1:12" x14ac:dyDescent="0.2">
      <c r="A21" s="217"/>
      <c r="B21" s="211"/>
      <c r="C21" s="220"/>
      <c r="D21" s="211"/>
      <c r="E21" s="220"/>
      <c r="F21" s="211"/>
      <c r="G21" s="220"/>
      <c r="H21" s="211"/>
      <c r="I21" s="220"/>
      <c r="J21" s="211"/>
      <c r="K21" s="109"/>
    </row>
    <row r="22" spans="1:12" x14ac:dyDescent="0.2">
      <c r="A22" s="217"/>
      <c r="B22" s="211"/>
      <c r="C22" s="222"/>
      <c r="D22" s="211"/>
      <c r="E22" s="222"/>
      <c r="F22" s="211"/>
      <c r="G22" s="222"/>
      <c r="H22" s="211"/>
      <c r="I22" s="219"/>
      <c r="J22" s="211"/>
      <c r="K22" s="109"/>
    </row>
    <row r="23" spans="1:12" x14ac:dyDescent="0.2">
      <c r="A23" s="217"/>
      <c r="B23" s="211"/>
      <c r="C23" s="220"/>
      <c r="D23" s="211"/>
      <c r="E23" s="220"/>
      <c r="F23" s="211"/>
      <c r="G23" s="220"/>
      <c r="H23" s="211"/>
      <c r="I23" s="220"/>
      <c r="J23" s="211"/>
      <c r="K23" s="109"/>
    </row>
    <row r="24" spans="1:12" x14ac:dyDescent="0.2">
      <c r="A24" s="217"/>
      <c r="B24" s="211"/>
      <c r="C24" s="222"/>
      <c r="D24" s="211"/>
      <c r="E24" s="222"/>
      <c r="F24" s="211"/>
      <c r="G24" s="222"/>
      <c r="H24" s="211"/>
      <c r="I24" s="219"/>
      <c r="J24" s="211"/>
      <c r="K24" s="109"/>
    </row>
    <row r="25" spans="1:12" x14ac:dyDescent="0.2">
      <c r="A25" s="217"/>
      <c r="B25" s="211"/>
      <c r="C25" s="220"/>
      <c r="D25" s="211"/>
      <c r="E25" s="220"/>
      <c r="F25" s="211"/>
      <c r="G25" s="220"/>
      <c r="H25" s="211"/>
      <c r="I25" s="220"/>
      <c r="J25" s="211"/>
      <c r="K25" s="109"/>
    </row>
    <row r="26" spans="1:12" x14ac:dyDescent="0.2">
      <c r="A26" s="217"/>
      <c r="B26" s="211"/>
      <c r="C26" s="220"/>
      <c r="D26" s="211"/>
      <c r="E26" s="220"/>
      <c r="F26" s="211"/>
      <c r="G26" s="220"/>
      <c r="H26" s="211"/>
      <c r="I26" s="220"/>
      <c r="J26" s="211"/>
      <c r="K26" s="109"/>
    </row>
    <row r="27" spans="1:12" x14ac:dyDescent="0.2">
      <c r="A27" s="217"/>
      <c r="B27" s="211"/>
      <c r="C27" s="217"/>
      <c r="D27" s="211"/>
      <c r="E27" s="217"/>
      <c r="F27" s="211"/>
      <c r="G27" s="220"/>
      <c r="H27" s="211"/>
      <c r="I27" s="220"/>
      <c r="J27" s="211"/>
      <c r="K27" s="109"/>
    </row>
    <row r="28" spans="1:12" x14ac:dyDescent="0.2">
      <c r="A28" s="214" t="s">
        <v>75</v>
      </c>
      <c r="B28" s="213">
        <f>SUM(B20:B27)</f>
        <v>0</v>
      </c>
      <c r="C28" s="214" t="s">
        <v>75</v>
      </c>
      <c r="D28" s="213">
        <f>SUM(D20:D27)</f>
        <v>0</v>
      </c>
      <c r="E28" s="214" t="s">
        <v>75</v>
      </c>
      <c r="F28" s="252">
        <f>SUM(F20:F27)</f>
        <v>0</v>
      </c>
      <c r="G28" s="214" t="s">
        <v>75</v>
      </c>
      <c r="H28" s="252">
        <f>SUM(H20:H27)</f>
        <v>0</v>
      </c>
      <c r="I28" s="214" t="s">
        <v>75</v>
      </c>
      <c r="J28" s="213">
        <f>SUM(J20:J27)</f>
        <v>0</v>
      </c>
      <c r="K28" s="213">
        <f>SUM(B28+D28+F28+H28+J28)</f>
        <v>0</v>
      </c>
    </row>
    <row r="29" spans="1:12" x14ac:dyDescent="0.2">
      <c r="A29" s="214" t="s">
        <v>156</v>
      </c>
      <c r="B29" s="213">
        <f>SUM(B18-B28)</f>
        <v>0</v>
      </c>
      <c r="C29" s="214" t="s">
        <v>156</v>
      </c>
      <c r="D29" s="213">
        <f>SUM(D18-D28)</f>
        <v>0</v>
      </c>
      <c r="E29" s="214" t="s">
        <v>156</v>
      </c>
      <c r="F29" s="213">
        <f>SUM(F18-F28)</f>
        <v>0</v>
      </c>
      <c r="G29" s="214" t="s">
        <v>156</v>
      </c>
      <c r="H29" s="213">
        <f>SUM(H18-H28)</f>
        <v>0</v>
      </c>
      <c r="I29" s="214" t="s">
        <v>156</v>
      </c>
      <c r="J29" s="213">
        <f>SUM(J18-J28)</f>
        <v>0</v>
      </c>
      <c r="K29" s="223">
        <f>SUM(B29+D29+F29+H29+J29)</f>
        <v>0</v>
      </c>
      <c r="L29" s="24" t="s">
        <v>213</v>
      </c>
    </row>
    <row r="30" spans="1:12" x14ac:dyDescent="0.2">
      <c r="A30" s="214"/>
      <c r="B30" s="243" t="str">
        <f>IF(B29&lt;0,"See Tab B","")</f>
        <v/>
      </c>
      <c r="C30" s="214"/>
      <c r="D30" s="243" t="str">
        <f>IF(D29&lt;0,"See Tab B","")</f>
        <v/>
      </c>
      <c r="E30" s="214"/>
      <c r="F30" s="243" t="str">
        <f>IF(F29&lt;0,"See Tab B","")</f>
        <v/>
      </c>
      <c r="G30" s="28"/>
      <c r="H30" s="243" t="str">
        <f>IF(H29&lt;0,"See Tab B","")</f>
        <v/>
      </c>
      <c r="I30" s="28"/>
      <c r="J30" s="243" t="str">
        <f>IF(J29&lt;0,"See Tab B","")</f>
        <v/>
      </c>
      <c r="K30" s="223">
        <f>SUM(K7+K17-K28)</f>
        <v>0</v>
      </c>
      <c r="L30" s="24" t="s">
        <v>213</v>
      </c>
    </row>
    <row r="31" spans="1:12" x14ac:dyDescent="0.2">
      <c r="A31" s="28"/>
      <c r="B31" s="56"/>
      <c r="C31" s="28"/>
      <c r="D31" s="109"/>
      <c r="E31" s="28"/>
      <c r="F31" s="28"/>
      <c r="G31" s="28"/>
      <c r="H31" s="724" t="s">
        <v>214</v>
      </c>
      <c r="I31" s="724"/>
      <c r="J31" s="724"/>
      <c r="K31" s="724"/>
    </row>
    <row r="32" spans="1:12" x14ac:dyDescent="0.2">
      <c r="A32" s="28"/>
      <c r="B32" s="56"/>
      <c r="C32" s="28"/>
      <c r="D32" s="28"/>
      <c r="E32" s="28"/>
      <c r="F32" s="28"/>
      <c r="G32" s="28"/>
      <c r="H32" s="28"/>
      <c r="I32" s="28"/>
      <c r="J32" s="28"/>
      <c r="K32" s="28"/>
    </row>
    <row r="33" spans="1:11" x14ac:dyDescent="0.2">
      <c r="A33" s="537" t="s">
        <v>541</v>
      </c>
      <c r="B33" s="112"/>
      <c r="C33" s="69"/>
      <c r="D33" s="69"/>
      <c r="E33" s="69"/>
      <c r="F33" s="69"/>
      <c r="G33" s="69"/>
      <c r="H33" s="69"/>
      <c r="I33" s="69"/>
      <c r="J33" s="69"/>
      <c r="K33" s="511"/>
    </row>
    <row r="34" spans="1:11" x14ac:dyDescent="0.2">
      <c r="A34" s="534"/>
      <c r="B34" s="56"/>
      <c r="C34" s="28"/>
      <c r="D34" s="28"/>
      <c r="E34" s="28"/>
      <c r="F34" s="28"/>
      <c r="G34" s="28"/>
      <c r="H34" s="28"/>
      <c r="I34" s="28"/>
      <c r="J34" s="28"/>
      <c r="K34" s="535"/>
    </row>
    <row r="35" spans="1:11" x14ac:dyDescent="0.2">
      <c r="A35" s="514"/>
      <c r="B35" s="111"/>
      <c r="C35" s="43"/>
      <c r="D35" s="43"/>
      <c r="E35" s="43"/>
      <c r="F35" s="43"/>
      <c r="G35" s="43"/>
      <c r="H35" s="43"/>
      <c r="I35" s="43"/>
      <c r="J35" s="43"/>
      <c r="K35" s="49"/>
    </row>
    <row r="36" spans="1:11" x14ac:dyDescent="0.2">
      <c r="A36" s="28"/>
      <c r="B36" s="56"/>
      <c r="C36" s="28"/>
      <c r="D36" s="28"/>
      <c r="E36" s="28"/>
      <c r="F36" s="28"/>
      <c r="G36" s="28"/>
      <c r="H36" s="28"/>
      <c r="I36" s="28"/>
      <c r="J36" s="28"/>
      <c r="K36" s="28"/>
    </row>
    <row r="37" spans="1:11" x14ac:dyDescent="0.2">
      <c r="A37" s="28"/>
      <c r="B37" s="56"/>
      <c r="C37" s="28"/>
      <c r="D37" s="28"/>
      <c r="E37" s="80" t="s">
        <v>78</v>
      </c>
      <c r="F37" s="464"/>
      <c r="G37" s="28"/>
      <c r="H37" s="28"/>
      <c r="I37" s="28"/>
      <c r="J37" s="28"/>
      <c r="K37" s="28"/>
    </row>
    <row r="38" spans="1:11" x14ac:dyDescent="0.2">
      <c r="B38" s="224"/>
    </row>
    <row r="39" spans="1:11" x14ac:dyDescent="0.2">
      <c r="B39" s="224"/>
    </row>
    <row r="40" spans="1:11" x14ac:dyDescent="0.2">
      <c r="B40" s="224"/>
    </row>
    <row r="41" spans="1:11" x14ac:dyDescent="0.2">
      <c r="B41" s="224"/>
    </row>
    <row r="42" spans="1:11" x14ac:dyDescent="0.2">
      <c r="B42" s="224"/>
    </row>
    <row r="43" spans="1:11" x14ac:dyDescent="0.2">
      <c r="B43" s="224"/>
    </row>
    <row r="44" spans="1:11" x14ac:dyDescent="0.2">
      <c r="B44" s="224"/>
    </row>
    <row r="45" spans="1:11" x14ac:dyDescent="0.2">
      <c r="B45" s="224"/>
    </row>
  </sheetData>
  <sheetProtection sheet="1" objects="1" scenarios="1"/>
  <mergeCells count="6">
    <mergeCell ref="H31:K31"/>
    <mergeCell ref="I5:J5"/>
    <mergeCell ref="A5:B5"/>
    <mergeCell ref="C5:D5"/>
    <mergeCell ref="E5:F5"/>
    <mergeCell ref="G5:H5"/>
  </mergeCells>
  <phoneticPr fontId="8" type="noConversion"/>
  <pageMargins left="0.75" right="0.75" top="1" bottom="1" header="0.5" footer="0.5"/>
  <pageSetup scale="88" orientation="landscape" blackAndWhite="1" r:id="rId1"/>
  <headerFooter alignWithMargins="0">
    <oddHeader>&amp;RState of Kansas
City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45"/>
  <sheetViews>
    <sheetView workbookViewId="0">
      <selection activeCell="L1" sqref="L1"/>
    </sheetView>
  </sheetViews>
  <sheetFormatPr defaultColWidth="8.88671875" defaultRowHeight="15.75" x14ac:dyDescent="0.2"/>
  <cols>
    <col min="1" max="1" width="11.5546875" style="24" customWidth="1"/>
    <col min="2" max="2" width="7.44140625" style="24" customWidth="1"/>
    <col min="3" max="3" width="11.5546875" style="24" customWidth="1"/>
    <col min="4" max="4" width="7.44140625" style="24" customWidth="1"/>
    <col min="5" max="5" width="11.5546875" style="24" customWidth="1"/>
    <col min="6" max="6" width="7.44140625" style="24" customWidth="1"/>
    <col min="7" max="7" width="11.5546875" style="24" customWidth="1"/>
    <col min="8" max="8" width="7.44140625" style="24" customWidth="1"/>
    <col min="9" max="9" width="11.5546875" style="24" customWidth="1"/>
    <col min="10" max="16384" width="8.88671875" style="24"/>
  </cols>
  <sheetData>
    <row r="1" spans="1:11" x14ac:dyDescent="0.2">
      <c r="A1" s="47" t="str">
        <f>inputPrYr!$D$3</f>
        <v>Wellsville</v>
      </c>
      <c r="B1" s="109"/>
      <c r="C1" s="28"/>
      <c r="D1" s="28"/>
      <c r="E1" s="28"/>
      <c r="F1" s="110" t="s">
        <v>157</v>
      </c>
      <c r="G1" s="28"/>
      <c r="H1" s="28"/>
      <c r="I1" s="28"/>
      <c r="J1" s="28"/>
      <c r="K1" s="28">
        <f>inputPrYr!$C$6</f>
        <v>2024</v>
      </c>
    </row>
    <row r="2" spans="1:11" x14ac:dyDescent="0.2">
      <c r="A2" s="28"/>
      <c r="B2" s="28"/>
      <c r="C2" s="28"/>
      <c r="D2" s="28"/>
      <c r="E2" s="28"/>
      <c r="F2" s="205" t="str">
        <f>CONCATENATE("(Only the actual budget year for ",K1-2," is reported)")</f>
        <v>(Only the actual budget year for 2022 is reported)</v>
      </c>
      <c r="G2" s="28"/>
      <c r="H2" s="28"/>
      <c r="I2" s="28"/>
      <c r="J2" s="28"/>
      <c r="K2" s="28"/>
    </row>
    <row r="3" spans="1:11" x14ac:dyDescent="0.2">
      <c r="A3" s="28" t="s">
        <v>189</v>
      </c>
      <c r="B3" s="28"/>
      <c r="C3" s="28"/>
      <c r="D3" s="28"/>
      <c r="E3" s="28"/>
      <c r="F3" s="109"/>
      <c r="G3" s="28"/>
      <c r="H3" s="28"/>
      <c r="I3" s="28"/>
      <c r="J3" s="28"/>
      <c r="K3" s="28"/>
    </row>
    <row r="4" spans="1:11" x14ac:dyDescent="0.2">
      <c r="A4" s="28" t="s">
        <v>150</v>
      </c>
      <c r="B4" s="28"/>
      <c r="C4" s="28" t="s">
        <v>151</v>
      </c>
      <c r="D4" s="28"/>
      <c r="E4" s="28" t="s">
        <v>152</v>
      </c>
      <c r="F4" s="109"/>
      <c r="G4" s="28" t="s">
        <v>153</v>
      </c>
      <c r="H4" s="28"/>
      <c r="I4" s="28" t="s">
        <v>154</v>
      </c>
      <c r="J4" s="28"/>
      <c r="K4" s="28"/>
    </row>
    <row r="5" spans="1:11" x14ac:dyDescent="0.2">
      <c r="A5" s="725" t="str">
        <f>IF(inputPrYr!B64&gt;" ",(inputPrYr!B64)," ")</f>
        <v>Employee Benefit Trust</v>
      </c>
      <c r="B5" s="726"/>
      <c r="C5" s="725" t="str">
        <f>IF(inputPrYr!B65&gt;" ",(inputPrYr!B65)," ")</f>
        <v>Police Improvement Reserve</v>
      </c>
      <c r="D5" s="726"/>
      <c r="E5" s="725" t="str">
        <f>IF(inputPrYr!B66&gt;" ",(inputPrYr!B66)," ")</f>
        <v>Fire Improvement Reserve</v>
      </c>
      <c r="F5" s="726"/>
      <c r="G5" s="725" t="str">
        <f>IF(inputPrYr!B67&gt;" ",(inputPrYr!B67)," ")</f>
        <v>Park Improvement Reserve</v>
      </c>
      <c r="H5" s="726"/>
      <c r="I5" s="725" t="str">
        <f>IF(inputPrYr!B68&gt;" ",(inputPrYr!B68)," ")</f>
        <v>Grant/Donations Fund</v>
      </c>
      <c r="J5" s="726"/>
      <c r="K5" s="43"/>
    </row>
    <row r="6" spans="1:11" x14ac:dyDescent="0.2">
      <c r="A6" s="206" t="s">
        <v>155</v>
      </c>
      <c r="B6" s="207"/>
      <c r="C6" s="208" t="s">
        <v>155</v>
      </c>
      <c r="D6" s="209"/>
      <c r="E6" s="208" t="s">
        <v>155</v>
      </c>
      <c r="F6" s="103"/>
      <c r="G6" s="208" t="s">
        <v>155</v>
      </c>
      <c r="H6" s="54"/>
      <c r="I6" s="208" t="s">
        <v>155</v>
      </c>
      <c r="J6" s="28"/>
      <c r="K6" s="99" t="s">
        <v>35</v>
      </c>
    </row>
    <row r="7" spans="1:11" x14ac:dyDescent="0.2">
      <c r="A7" s="210" t="s">
        <v>10</v>
      </c>
      <c r="B7" s="211"/>
      <c r="C7" s="212" t="s">
        <v>10</v>
      </c>
      <c r="D7" s="211"/>
      <c r="E7" s="212" t="s">
        <v>10</v>
      </c>
      <c r="F7" s="211"/>
      <c r="G7" s="212" t="s">
        <v>10</v>
      </c>
      <c r="H7" s="211"/>
      <c r="I7" s="212" t="s">
        <v>10</v>
      </c>
      <c r="J7" s="211"/>
      <c r="K7" s="213">
        <f>SUM(B7+D7+F7+H7+J7)</f>
        <v>0</v>
      </c>
    </row>
    <row r="8" spans="1:11" x14ac:dyDescent="0.2">
      <c r="A8" s="214" t="s">
        <v>139</v>
      </c>
      <c r="B8" s="215"/>
      <c r="C8" s="214" t="s">
        <v>139</v>
      </c>
      <c r="D8" s="216"/>
      <c r="E8" s="214" t="s">
        <v>139</v>
      </c>
      <c r="F8" s="109"/>
      <c r="G8" s="214" t="s">
        <v>139</v>
      </c>
      <c r="H8" s="28"/>
      <c r="I8" s="214" t="s">
        <v>139</v>
      </c>
      <c r="J8" s="28"/>
      <c r="K8" s="109"/>
    </row>
    <row r="9" spans="1:11" x14ac:dyDescent="0.2">
      <c r="A9" s="217"/>
      <c r="B9" s="211"/>
      <c r="C9" s="217"/>
      <c r="D9" s="211"/>
      <c r="E9" s="217"/>
      <c r="F9" s="211"/>
      <c r="G9" s="217"/>
      <c r="H9" s="211"/>
      <c r="I9" s="217"/>
      <c r="J9" s="211"/>
      <c r="K9" s="109"/>
    </row>
    <row r="10" spans="1:11" x14ac:dyDescent="0.2">
      <c r="A10" s="217"/>
      <c r="B10" s="211"/>
      <c r="C10" s="217"/>
      <c r="D10" s="211"/>
      <c r="E10" s="217"/>
      <c r="F10" s="211"/>
      <c r="G10" s="217"/>
      <c r="H10" s="211"/>
      <c r="I10" s="217"/>
      <c r="J10" s="211"/>
      <c r="K10" s="109"/>
    </row>
    <row r="11" spans="1:11" x14ac:dyDescent="0.2">
      <c r="A11" s="217"/>
      <c r="B11" s="211"/>
      <c r="C11" s="218"/>
      <c r="D11" s="211"/>
      <c r="E11" s="218"/>
      <c r="F11" s="211"/>
      <c r="G11" s="218"/>
      <c r="H11" s="211"/>
      <c r="I11" s="219"/>
      <c r="J11" s="211"/>
      <c r="K11" s="109"/>
    </row>
    <row r="12" spans="1:11" x14ac:dyDescent="0.2">
      <c r="A12" s="217"/>
      <c r="B12" s="211"/>
      <c r="C12" s="217"/>
      <c r="D12" s="211"/>
      <c r="E12" s="220"/>
      <c r="F12" s="211"/>
      <c r="G12" s="220"/>
      <c r="H12" s="211"/>
      <c r="I12" s="220"/>
      <c r="J12" s="211"/>
      <c r="K12" s="109"/>
    </row>
    <row r="13" spans="1:11" x14ac:dyDescent="0.2">
      <c r="A13" s="221"/>
      <c r="B13" s="211"/>
      <c r="C13" s="222"/>
      <c r="D13" s="211"/>
      <c r="E13" s="222"/>
      <c r="F13" s="211"/>
      <c r="G13" s="222"/>
      <c r="H13" s="211"/>
      <c r="I13" s="219"/>
      <c r="J13" s="211"/>
      <c r="K13" s="109"/>
    </row>
    <row r="14" spans="1:11" x14ac:dyDescent="0.2">
      <c r="A14" s="217"/>
      <c r="B14" s="211"/>
      <c r="C14" s="220"/>
      <c r="D14" s="211"/>
      <c r="E14" s="220"/>
      <c r="F14" s="211"/>
      <c r="G14" s="220"/>
      <c r="H14" s="211"/>
      <c r="I14" s="220"/>
      <c r="J14" s="211"/>
      <c r="K14" s="109"/>
    </row>
    <row r="15" spans="1:11" x14ac:dyDescent="0.2">
      <c r="A15" s="217"/>
      <c r="B15" s="211"/>
      <c r="C15" s="220"/>
      <c r="D15" s="211"/>
      <c r="E15" s="220"/>
      <c r="F15" s="211"/>
      <c r="G15" s="220"/>
      <c r="H15" s="211"/>
      <c r="I15" s="220"/>
      <c r="J15" s="211"/>
      <c r="K15" s="109"/>
    </row>
    <row r="16" spans="1:11" x14ac:dyDescent="0.2">
      <c r="A16" s="217"/>
      <c r="B16" s="211"/>
      <c r="C16" s="217"/>
      <c r="D16" s="211"/>
      <c r="E16" s="217"/>
      <c r="F16" s="211"/>
      <c r="G16" s="220"/>
      <c r="H16" s="211"/>
      <c r="I16" s="217"/>
      <c r="J16" s="211"/>
      <c r="K16" s="109"/>
    </row>
    <row r="17" spans="1:12" x14ac:dyDescent="0.2">
      <c r="A17" s="214" t="s">
        <v>68</v>
      </c>
      <c r="B17" s="213">
        <f>SUM(B9:B16)</f>
        <v>0</v>
      </c>
      <c r="C17" s="214" t="s">
        <v>68</v>
      </c>
      <c r="D17" s="213">
        <f>SUM(D9:D16)</f>
        <v>0</v>
      </c>
      <c r="E17" s="214" t="s">
        <v>68</v>
      </c>
      <c r="F17" s="252">
        <f>SUM(F9:F16)</f>
        <v>0</v>
      </c>
      <c r="G17" s="214" t="s">
        <v>68</v>
      </c>
      <c r="H17" s="213">
        <f>SUM(H9:H16)</f>
        <v>0</v>
      </c>
      <c r="I17" s="214" t="s">
        <v>68</v>
      </c>
      <c r="J17" s="213">
        <f>SUM(J9:J16)</f>
        <v>0</v>
      </c>
      <c r="K17" s="213">
        <f>SUM(B17+D17+F17+H17+J17)</f>
        <v>0</v>
      </c>
    </row>
    <row r="18" spans="1:12" x14ac:dyDescent="0.2">
      <c r="A18" s="214" t="s">
        <v>69</v>
      </c>
      <c r="B18" s="213">
        <f>SUM(B7+B17)</f>
        <v>0</v>
      </c>
      <c r="C18" s="214" t="s">
        <v>69</v>
      </c>
      <c r="D18" s="213">
        <f>SUM(D7+D17)</f>
        <v>0</v>
      </c>
      <c r="E18" s="214" t="s">
        <v>69</v>
      </c>
      <c r="F18" s="213">
        <f>SUM(F7+F17)</f>
        <v>0</v>
      </c>
      <c r="G18" s="214" t="s">
        <v>69</v>
      </c>
      <c r="H18" s="213">
        <f>SUM(H7+H17)</f>
        <v>0</v>
      </c>
      <c r="I18" s="214" t="s">
        <v>69</v>
      </c>
      <c r="J18" s="213">
        <f>SUM(J7+J17)</f>
        <v>0</v>
      </c>
      <c r="K18" s="213">
        <f>SUM(B18+D18+F18+H18+J18)</f>
        <v>0</v>
      </c>
    </row>
    <row r="19" spans="1:12" x14ac:dyDescent="0.2">
      <c r="A19" s="214" t="s">
        <v>71</v>
      </c>
      <c r="B19" s="215"/>
      <c r="C19" s="214" t="s">
        <v>71</v>
      </c>
      <c r="D19" s="216"/>
      <c r="E19" s="214" t="s">
        <v>71</v>
      </c>
      <c r="F19" s="109"/>
      <c r="G19" s="214" t="s">
        <v>71</v>
      </c>
      <c r="H19" s="28"/>
      <c r="I19" s="214" t="s">
        <v>71</v>
      </c>
      <c r="J19" s="28"/>
      <c r="K19" s="109"/>
    </row>
    <row r="20" spans="1:12" x14ac:dyDescent="0.2">
      <c r="A20" s="217"/>
      <c r="B20" s="211"/>
      <c r="C20" s="220"/>
      <c r="D20" s="211"/>
      <c r="E20" s="220"/>
      <c r="F20" s="211"/>
      <c r="G20" s="220"/>
      <c r="H20" s="211"/>
      <c r="I20" s="220"/>
      <c r="J20" s="211"/>
      <c r="K20" s="109"/>
    </row>
    <row r="21" spans="1:12" x14ac:dyDescent="0.2">
      <c r="A21" s="217"/>
      <c r="B21" s="211"/>
      <c r="C21" s="220"/>
      <c r="D21" s="211"/>
      <c r="E21" s="220"/>
      <c r="F21" s="211"/>
      <c r="G21" s="220"/>
      <c r="H21" s="211"/>
      <c r="I21" s="220"/>
      <c r="J21" s="211"/>
      <c r="K21" s="109"/>
    </row>
    <row r="22" spans="1:12" x14ac:dyDescent="0.2">
      <c r="A22" s="217"/>
      <c r="B22" s="211"/>
      <c r="C22" s="222"/>
      <c r="D22" s="211"/>
      <c r="E22" s="222"/>
      <c r="F22" s="211"/>
      <c r="G22" s="222"/>
      <c r="H22" s="211"/>
      <c r="I22" s="219"/>
      <c r="J22" s="211"/>
      <c r="K22" s="109"/>
    </row>
    <row r="23" spans="1:12" x14ac:dyDescent="0.2">
      <c r="A23" s="217"/>
      <c r="B23" s="211"/>
      <c r="C23" s="220"/>
      <c r="D23" s="211"/>
      <c r="E23" s="220"/>
      <c r="F23" s="211"/>
      <c r="G23" s="220"/>
      <c r="H23" s="211"/>
      <c r="I23" s="220"/>
      <c r="J23" s="211"/>
      <c r="K23" s="109"/>
    </row>
    <row r="24" spans="1:12" x14ac:dyDescent="0.2">
      <c r="A24" s="217"/>
      <c r="B24" s="211"/>
      <c r="C24" s="222"/>
      <c r="D24" s="211"/>
      <c r="E24" s="222"/>
      <c r="F24" s="211"/>
      <c r="G24" s="222"/>
      <c r="H24" s="211"/>
      <c r="I24" s="219"/>
      <c r="J24" s="211"/>
      <c r="K24" s="109"/>
    </row>
    <row r="25" spans="1:12" x14ac:dyDescent="0.2">
      <c r="A25" s="217"/>
      <c r="B25" s="211"/>
      <c r="C25" s="220"/>
      <c r="D25" s="211"/>
      <c r="E25" s="220"/>
      <c r="F25" s="211"/>
      <c r="G25" s="220"/>
      <c r="H25" s="211"/>
      <c r="I25" s="220"/>
      <c r="J25" s="211"/>
      <c r="K25" s="109"/>
    </row>
    <row r="26" spans="1:12" x14ac:dyDescent="0.2">
      <c r="A26" s="217"/>
      <c r="B26" s="211"/>
      <c r="C26" s="220"/>
      <c r="D26" s="211"/>
      <c r="E26" s="220"/>
      <c r="F26" s="211"/>
      <c r="G26" s="220"/>
      <c r="H26" s="211"/>
      <c r="I26" s="220"/>
      <c r="J26" s="211"/>
      <c r="K26" s="109"/>
    </row>
    <row r="27" spans="1:12" x14ac:dyDescent="0.2">
      <c r="A27" s="217"/>
      <c r="B27" s="211"/>
      <c r="C27" s="217"/>
      <c r="D27" s="211"/>
      <c r="E27" s="217"/>
      <c r="F27" s="211"/>
      <c r="G27" s="220"/>
      <c r="H27" s="211"/>
      <c r="I27" s="220"/>
      <c r="J27" s="211"/>
      <c r="K27" s="109"/>
    </row>
    <row r="28" spans="1:12" x14ac:dyDescent="0.2">
      <c r="A28" s="214" t="s">
        <v>75</v>
      </c>
      <c r="B28" s="213">
        <f>SUM(B20:B27)</f>
        <v>0</v>
      </c>
      <c r="C28" s="214" t="s">
        <v>75</v>
      </c>
      <c r="D28" s="213">
        <f>SUM(D20:D27)</f>
        <v>0</v>
      </c>
      <c r="E28" s="214" t="s">
        <v>75</v>
      </c>
      <c r="F28" s="252">
        <f>SUM(F20:F27)</f>
        <v>0</v>
      </c>
      <c r="G28" s="214" t="s">
        <v>75</v>
      </c>
      <c r="H28" s="252">
        <f>SUM(H20:H27)</f>
        <v>0</v>
      </c>
      <c r="I28" s="214" t="s">
        <v>75</v>
      </c>
      <c r="J28" s="213">
        <f>SUM(J20:J27)</f>
        <v>0</v>
      </c>
      <c r="K28" s="213">
        <f>SUM(B28+D28+F28+H28+J28)</f>
        <v>0</v>
      </c>
    </row>
    <row r="29" spans="1:12" x14ac:dyDescent="0.2">
      <c r="A29" s="214" t="s">
        <v>156</v>
      </c>
      <c r="B29" s="213">
        <f>SUM(B18-B28)</f>
        <v>0</v>
      </c>
      <c r="C29" s="214" t="s">
        <v>156</v>
      </c>
      <c r="D29" s="213">
        <f>SUM(D18-D28)</f>
        <v>0</v>
      </c>
      <c r="E29" s="214" t="s">
        <v>156</v>
      </c>
      <c r="F29" s="213">
        <f>SUM(F18-F28)</f>
        <v>0</v>
      </c>
      <c r="G29" s="214" t="s">
        <v>156</v>
      </c>
      <c r="H29" s="213">
        <f>SUM(H18-H28)</f>
        <v>0</v>
      </c>
      <c r="I29" s="214" t="s">
        <v>156</v>
      </c>
      <c r="J29" s="213">
        <f>SUM(J18-J28)</f>
        <v>0</v>
      </c>
      <c r="K29" s="223">
        <f>SUM(B29+D29+F29+H29+J29)</f>
        <v>0</v>
      </c>
      <c r="L29" s="24" t="s">
        <v>213</v>
      </c>
    </row>
    <row r="30" spans="1:12" x14ac:dyDescent="0.2">
      <c r="A30" s="214"/>
      <c r="B30" s="243" t="str">
        <f>IF(B29&lt;0,"See Tab B","")</f>
        <v/>
      </c>
      <c r="C30" s="214"/>
      <c r="D30" s="243" t="str">
        <f>IF(D29&lt;0,"See Tab B","")</f>
        <v/>
      </c>
      <c r="E30" s="214"/>
      <c r="F30" s="243" t="str">
        <f>IF(F29&lt;0,"See Tab B","")</f>
        <v/>
      </c>
      <c r="G30" s="28"/>
      <c r="H30" s="243" t="str">
        <f>IF(H29&lt;0,"See Tab B","")</f>
        <v/>
      </c>
      <c r="I30" s="28"/>
      <c r="J30" s="243" t="str">
        <f>IF(J29&lt;0,"See Tab B","")</f>
        <v/>
      </c>
      <c r="K30" s="223">
        <f>SUM(K7+K17-K28)</f>
        <v>0</v>
      </c>
      <c r="L30" s="24" t="s">
        <v>213</v>
      </c>
    </row>
    <row r="31" spans="1:12" x14ac:dyDescent="0.2">
      <c r="A31" s="28"/>
      <c r="B31" s="56"/>
      <c r="C31" s="28"/>
      <c r="D31" s="109"/>
      <c r="E31" s="28"/>
      <c r="F31" s="28"/>
      <c r="G31" s="28"/>
      <c r="H31" s="724" t="s">
        <v>214</v>
      </c>
      <c r="I31" s="724"/>
      <c r="J31" s="724"/>
      <c r="K31" s="724"/>
    </row>
    <row r="32" spans="1:12" x14ac:dyDescent="0.2">
      <c r="A32" s="28"/>
      <c r="B32" s="56"/>
      <c r="C32" s="28"/>
      <c r="D32" s="28"/>
      <c r="E32" s="28"/>
      <c r="F32" s="28"/>
      <c r="G32" s="28"/>
      <c r="H32" s="28"/>
      <c r="I32" s="28"/>
      <c r="J32" s="28"/>
      <c r="K32" s="28"/>
    </row>
    <row r="33" spans="1:11" x14ac:dyDescent="0.2">
      <c r="A33" s="537" t="s">
        <v>541</v>
      </c>
      <c r="B33" s="112"/>
      <c r="C33" s="69"/>
      <c r="D33" s="69"/>
      <c r="E33" s="69"/>
      <c r="F33" s="69"/>
      <c r="G33" s="69"/>
      <c r="H33" s="69"/>
      <c r="I33" s="69"/>
      <c r="J33" s="69"/>
      <c r="K33" s="511"/>
    </row>
    <row r="34" spans="1:11" x14ac:dyDescent="0.2">
      <c r="A34" s="534"/>
      <c r="B34" s="56"/>
      <c r="C34" s="28"/>
      <c r="D34" s="28"/>
      <c r="E34" s="28"/>
      <c r="F34" s="28"/>
      <c r="G34" s="28"/>
      <c r="H34" s="28"/>
      <c r="I34" s="28"/>
      <c r="J34" s="28"/>
      <c r="K34" s="535"/>
    </row>
    <row r="35" spans="1:11" x14ac:dyDescent="0.2">
      <c r="A35" s="514"/>
      <c r="B35" s="111"/>
      <c r="C35" s="43"/>
      <c r="D35" s="43"/>
      <c r="E35" s="43"/>
      <c r="F35" s="43"/>
      <c r="G35" s="43"/>
      <c r="H35" s="43"/>
      <c r="I35" s="43"/>
      <c r="J35" s="43"/>
      <c r="K35" s="49"/>
    </row>
    <row r="36" spans="1:11" x14ac:dyDescent="0.2">
      <c r="A36" s="28"/>
      <c r="B36" s="56"/>
      <c r="C36" s="28"/>
      <c r="D36" s="28"/>
      <c r="E36" s="28"/>
      <c r="F36" s="28"/>
      <c r="G36" s="28"/>
      <c r="H36" s="28"/>
      <c r="I36" s="28"/>
      <c r="J36" s="28"/>
      <c r="K36" s="28"/>
    </row>
    <row r="37" spans="1:11" x14ac:dyDescent="0.2">
      <c r="A37" s="28"/>
      <c r="B37" s="56"/>
      <c r="C37" s="28"/>
      <c r="D37" s="28"/>
      <c r="E37" s="80" t="s">
        <v>78</v>
      </c>
      <c r="F37" s="464"/>
      <c r="G37" s="28"/>
      <c r="H37" s="28"/>
      <c r="I37" s="28"/>
      <c r="J37" s="28"/>
      <c r="K37" s="28"/>
    </row>
    <row r="38" spans="1:11" x14ac:dyDescent="0.2">
      <c r="B38" s="224"/>
    </row>
    <row r="39" spans="1:11" x14ac:dyDescent="0.2">
      <c r="B39" s="224"/>
    </row>
    <row r="40" spans="1:11" x14ac:dyDescent="0.2">
      <c r="B40" s="224"/>
    </row>
    <row r="41" spans="1:11" x14ac:dyDescent="0.2">
      <c r="B41" s="224"/>
    </row>
    <row r="42" spans="1:11" x14ac:dyDescent="0.2">
      <c r="B42" s="224"/>
    </row>
    <row r="43" spans="1:11" x14ac:dyDescent="0.2">
      <c r="B43" s="224"/>
    </row>
    <row r="44" spans="1:11" x14ac:dyDescent="0.2">
      <c r="B44" s="224"/>
    </row>
    <row r="45" spans="1:11" x14ac:dyDescent="0.2">
      <c r="B45" s="224"/>
    </row>
  </sheetData>
  <sheetProtection sheet="1" objects="1" scenarios="1"/>
  <mergeCells count="6">
    <mergeCell ref="H31:K31"/>
    <mergeCell ref="I5:J5"/>
    <mergeCell ref="A5:B5"/>
    <mergeCell ref="C5:D5"/>
    <mergeCell ref="E5:F5"/>
    <mergeCell ref="G5:H5"/>
  </mergeCells>
  <phoneticPr fontId="8" type="noConversion"/>
  <pageMargins left="0.75" right="0.75" top="1" bottom="1" header="0.5" footer="0.5"/>
  <pageSetup scale="88" orientation="landscape" blackAndWhite="1" r:id="rId1"/>
  <headerFooter alignWithMargins="0">
    <oddHeader>&amp;RState of Kansas
City</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6"/>
  <sheetViews>
    <sheetView workbookViewId="0">
      <selection activeCell="E97" sqref="E97"/>
    </sheetView>
  </sheetViews>
  <sheetFormatPr defaultColWidth="8.88671875" defaultRowHeight="15" x14ac:dyDescent="0.2"/>
  <cols>
    <col min="1" max="1" width="70.5546875" style="64" customWidth="1"/>
    <col min="2" max="16384" width="8.88671875" style="64"/>
  </cols>
  <sheetData>
    <row r="1" spans="1:1" ht="18.75" x14ac:dyDescent="0.3">
      <c r="A1" s="300" t="s">
        <v>223</v>
      </c>
    </row>
    <row r="2" spans="1:1" ht="15.75" x14ac:dyDescent="0.25">
      <c r="A2" s="1"/>
    </row>
    <row r="3" spans="1:1" ht="57" customHeight="1" x14ac:dyDescent="0.25">
      <c r="A3" s="301" t="s">
        <v>224</v>
      </c>
    </row>
    <row r="4" spans="1:1" ht="15.75" x14ac:dyDescent="0.25">
      <c r="A4" s="299"/>
    </row>
    <row r="5" spans="1:1" ht="15.75" x14ac:dyDescent="0.25">
      <c r="A5" s="1"/>
    </row>
    <row r="6" spans="1:1" ht="44.25" customHeight="1" x14ac:dyDescent="0.25">
      <c r="A6" s="301" t="s">
        <v>225</v>
      </c>
    </row>
    <row r="7" spans="1:1" ht="15.75" x14ac:dyDescent="0.25">
      <c r="A7" s="1"/>
    </row>
    <row r="8" spans="1:1" ht="15.75" x14ac:dyDescent="0.25">
      <c r="A8" s="299"/>
    </row>
    <row r="9" spans="1:1" ht="46.5" customHeight="1" x14ac:dyDescent="0.25">
      <c r="A9" s="301" t="s">
        <v>226</v>
      </c>
    </row>
    <row r="10" spans="1:1" ht="15.75" x14ac:dyDescent="0.25">
      <c r="A10" s="1"/>
    </row>
    <row r="11" spans="1:1" ht="15.75" x14ac:dyDescent="0.25">
      <c r="A11" s="299"/>
    </row>
    <row r="12" spans="1:1" ht="60" customHeight="1" x14ac:dyDescent="0.25">
      <c r="A12" s="301" t="s">
        <v>227</v>
      </c>
    </row>
    <row r="13" spans="1:1" ht="15.75" x14ac:dyDescent="0.25">
      <c r="A13" s="1"/>
    </row>
    <row r="14" spans="1:1" ht="15.75" x14ac:dyDescent="0.25">
      <c r="A14" s="1"/>
    </row>
    <row r="15" spans="1:1" ht="61.5" customHeight="1" x14ac:dyDescent="0.25">
      <c r="A15" s="301" t="s">
        <v>228</v>
      </c>
    </row>
    <row r="16" spans="1:1" ht="15.75" x14ac:dyDescent="0.25">
      <c r="A16" s="1"/>
    </row>
    <row r="17" spans="1:1" ht="15.75" x14ac:dyDescent="0.25">
      <c r="A17" s="1"/>
    </row>
    <row r="18" spans="1:1" ht="59.25" customHeight="1" x14ac:dyDescent="0.25">
      <c r="A18" s="301" t="s">
        <v>229</v>
      </c>
    </row>
    <row r="19" spans="1:1" ht="15.75" x14ac:dyDescent="0.25">
      <c r="A19" s="1"/>
    </row>
    <row r="20" spans="1:1" ht="15.75" x14ac:dyDescent="0.25">
      <c r="A20" s="1"/>
    </row>
    <row r="21" spans="1:1" ht="61.5" customHeight="1" x14ac:dyDescent="0.25">
      <c r="A21" s="301" t="s">
        <v>230</v>
      </c>
    </row>
    <row r="22" spans="1:1" ht="15.75" x14ac:dyDescent="0.25">
      <c r="A22" s="299"/>
    </row>
    <row r="23" spans="1:1" ht="15.75" x14ac:dyDescent="0.25">
      <c r="A23" s="299"/>
    </row>
    <row r="24" spans="1:1" ht="63" customHeight="1" x14ac:dyDescent="0.25">
      <c r="A24" s="301" t="s">
        <v>231</v>
      </c>
    </row>
    <row r="25" spans="1:1" ht="15.75" x14ac:dyDescent="0.25">
      <c r="A25" s="1"/>
    </row>
    <row r="26" spans="1:1" ht="15.75" x14ac:dyDescent="0.25">
      <c r="A26" s="1"/>
    </row>
    <row r="27" spans="1:1" ht="52.5" customHeight="1" x14ac:dyDescent="0.25">
      <c r="A27" s="309" t="s">
        <v>340</v>
      </c>
    </row>
    <row r="28" spans="1:1" ht="15.75" x14ac:dyDescent="0.25">
      <c r="A28" s="1"/>
    </row>
    <row r="29" spans="1:1" ht="15.75" x14ac:dyDescent="0.25">
      <c r="A29" s="1"/>
    </row>
    <row r="30" spans="1:1" ht="44.25" customHeight="1" x14ac:dyDescent="0.25">
      <c r="A30" s="301" t="s">
        <v>232</v>
      </c>
    </row>
    <row r="31" spans="1:1" ht="15.75" x14ac:dyDescent="0.25">
      <c r="A31" s="1"/>
    </row>
    <row r="32" spans="1:1" ht="15.75" x14ac:dyDescent="0.25">
      <c r="A32" s="1"/>
    </row>
    <row r="33" spans="1:1" ht="42.75" customHeight="1" x14ac:dyDescent="0.25">
      <c r="A33" s="301" t="s">
        <v>233</v>
      </c>
    </row>
    <row r="34" spans="1:1" ht="15.75" x14ac:dyDescent="0.25">
      <c r="A34" s="299"/>
    </row>
    <row r="35" spans="1:1" ht="15.75" x14ac:dyDescent="0.25">
      <c r="A35" s="299"/>
    </row>
    <row r="36" spans="1:1" ht="38.25" customHeight="1" x14ac:dyDescent="0.25">
      <c r="A36" s="301" t="s">
        <v>234</v>
      </c>
    </row>
    <row r="37" spans="1:1" ht="15.75" x14ac:dyDescent="0.25">
      <c r="A37" s="299"/>
    </row>
    <row r="38" spans="1:1" ht="15.75" x14ac:dyDescent="0.25">
      <c r="A38" s="1"/>
    </row>
    <row r="39" spans="1:1" ht="75.75" customHeight="1" x14ac:dyDescent="0.25">
      <c r="A39" s="301" t="s">
        <v>235</v>
      </c>
    </row>
    <row r="40" spans="1:1" ht="15.75" x14ac:dyDescent="0.25">
      <c r="A40" s="1"/>
    </row>
    <row r="41" spans="1:1" ht="15.75" x14ac:dyDescent="0.25">
      <c r="A41" s="1"/>
    </row>
    <row r="42" spans="1:1" ht="57.75" customHeight="1" x14ac:dyDescent="0.25">
      <c r="A42" s="301" t="s">
        <v>236</v>
      </c>
    </row>
    <row r="43" spans="1:1" ht="15.75" x14ac:dyDescent="0.25">
      <c r="A43" s="299"/>
    </row>
    <row r="44" spans="1:1" ht="15.75" x14ac:dyDescent="0.25">
      <c r="A44" s="1"/>
    </row>
    <row r="45" spans="1:1" ht="57.75" customHeight="1" x14ac:dyDescent="0.25">
      <c r="A45" s="301" t="s">
        <v>237</v>
      </c>
    </row>
    <row r="46" spans="1:1" ht="15.75" x14ac:dyDescent="0.25">
      <c r="A46" s="1"/>
    </row>
    <row r="47" spans="1:1" ht="15.75" x14ac:dyDescent="0.25">
      <c r="A47" s="1"/>
    </row>
    <row r="48" spans="1:1" ht="41.25" customHeight="1" x14ac:dyDescent="0.25">
      <c r="A48" s="301" t="s">
        <v>238</v>
      </c>
    </row>
    <row r="49" spans="1:1" ht="15.75" x14ac:dyDescent="0.25">
      <c r="A49" s="1"/>
    </row>
    <row r="50" spans="1:1" ht="15.75" x14ac:dyDescent="0.25">
      <c r="A50" s="1"/>
    </row>
    <row r="51" spans="1:1" ht="75" customHeight="1" x14ac:dyDescent="0.25">
      <c r="A51" s="301" t="s">
        <v>239</v>
      </c>
    </row>
    <row r="52" spans="1:1" ht="15.75" x14ac:dyDescent="0.25">
      <c r="A52" s="299"/>
    </row>
    <row r="53" spans="1:1" ht="15.75" x14ac:dyDescent="0.25">
      <c r="A53" s="299"/>
    </row>
    <row r="54" spans="1:1" ht="57.75" customHeight="1" x14ac:dyDescent="0.25">
      <c r="A54" s="301" t="s">
        <v>240</v>
      </c>
    </row>
    <row r="55" spans="1:1" ht="15.75" x14ac:dyDescent="0.25">
      <c r="A55" s="1"/>
    </row>
    <row r="56" spans="1:1" ht="15.75" x14ac:dyDescent="0.25">
      <c r="A56" s="1"/>
    </row>
    <row r="57" spans="1:1" ht="44.25" customHeight="1" x14ac:dyDescent="0.25">
      <c r="A57" s="301" t="s">
        <v>241</v>
      </c>
    </row>
    <row r="58" spans="1:1" ht="15.75" x14ac:dyDescent="0.25">
      <c r="A58" s="1"/>
    </row>
    <row r="59" spans="1:1" ht="15.75" x14ac:dyDescent="0.25">
      <c r="A59" s="1"/>
    </row>
    <row r="60" spans="1:1" ht="60" customHeight="1" x14ac:dyDescent="0.25">
      <c r="A60" s="301" t="s">
        <v>242</v>
      </c>
    </row>
    <row r="61" spans="1:1" ht="15.75" x14ac:dyDescent="0.25">
      <c r="A61" s="299"/>
    </row>
    <row r="62" spans="1:1" ht="15.75" x14ac:dyDescent="0.25">
      <c r="A62" s="299"/>
    </row>
    <row r="63" spans="1:1" ht="57.75" customHeight="1" x14ac:dyDescent="0.25">
      <c r="A63" s="301" t="s">
        <v>243</v>
      </c>
    </row>
    <row r="64" spans="1:1" ht="15.75" x14ac:dyDescent="0.25">
      <c r="A64" s="1"/>
    </row>
    <row r="65" spans="1:1" ht="15.75" x14ac:dyDescent="0.25">
      <c r="A65" s="1"/>
    </row>
    <row r="66" spans="1:1" ht="60" customHeight="1" x14ac:dyDescent="0.25">
      <c r="A66" s="301" t="s">
        <v>244</v>
      </c>
    </row>
  </sheetData>
  <sheetProtection sheet="1" objects="1" scenarios="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72"/>
  <sheetViews>
    <sheetView topLeftCell="B16" zoomScale="90" zoomScaleNormal="90" workbookViewId="0">
      <selection activeCell="F62" sqref="F62"/>
    </sheetView>
  </sheetViews>
  <sheetFormatPr defaultColWidth="8.88671875" defaultRowHeight="15.75" x14ac:dyDescent="0.2"/>
  <cols>
    <col min="1" max="1" width="20.77734375" style="24" customWidth="1"/>
    <col min="2" max="2" width="15.77734375" style="24" customWidth="1"/>
    <col min="3" max="3" width="8.77734375" style="24" customWidth="1"/>
    <col min="4" max="4" width="15.77734375" style="24" customWidth="1"/>
    <col min="5" max="5" width="9.109375" style="24" customWidth="1"/>
    <col min="6" max="6" width="14.6640625" style="24" customWidth="1"/>
    <col min="7" max="7" width="12.77734375" style="24" customWidth="1"/>
    <col min="8" max="8" width="10.109375" style="24" customWidth="1"/>
    <col min="9" max="9" width="8.88671875" style="24"/>
    <col min="10" max="10" width="12.44140625" style="24" customWidth="1"/>
    <col min="11" max="11" width="12.33203125" style="24" customWidth="1"/>
    <col min="12" max="12" width="10.5546875" style="24" customWidth="1"/>
    <col min="13" max="13" width="12.109375" style="24" customWidth="1"/>
    <col min="14" max="16384" width="8.88671875" style="24"/>
  </cols>
  <sheetData>
    <row r="1" spans="1:9" x14ac:dyDescent="0.2">
      <c r="A1" s="740" t="s">
        <v>120</v>
      </c>
      <c r="B1" s="740"/>
      <c r="C1" s="740"/>
      <c r="D1" s="740"/>
      <c r="E1" s="740"/>
      <c r="F1" s="740"/>
      <c r="G1" s="740"/>
      <c r="H1" s="740"/>
      <c r="I1" s="225"/>
    </row>
    <row r="2" spans="1:9" ht="18" customHeight="1" x14ac:dyDescent="0.2">
      <c r="A2" s="28"/>
      <c r="B2" s="28"/>
      <c r="C2" s="28"/>
      <c r="D2" s="28"/>
      <c r="E2" s="28"/>
      <c r="F2" s="28"/>
      <c r="G2" s="28"/>
      <c r="H2" s="28">
        <f>inputPrYr!$C$6</f>
        <v>2024</v>
      </c>
    </row>
    <row r="3" spans="1:9" ht="18" customHeight="1" x14ac:dyDescent="0.2">
      <c r="A3" s="664" t="s">
        <v>80</v>
      </c>
      <c r="B3" s="664"/>
      <c r="C3" s="664"/>
      <c r="D3" s="664"/>
      <c r="E3" s="664"/>
      <c r="F3" s="664"/>
      <c r="G3" s="664"/>
      <c r="H3" s="664"/>
    </row>
    <row r="4" spans="1:9" x14ac:dyDescent="0.2">
      <c r="A4" s="635" t="str">
        <f>inputPrYr!D3</f>
        <v>Wellsville</v>
      </c>
      <c r="B4" s="635"/>
      <c r="C4" s="635"/>
      <c r="D4" s="635"/>
      <c r="E4" s="635"/>
      <c r="F4" s="635"/>
      <c r="G4" s="635"/>
      <c r="H4" s="635"/>
    </row>
    <row r="5" spans="1:9" ht="18" customHeight="1" x14ac:dyDescent="0.25">
      <c r="A5" s="745" t="str">
        <f>CONCATENATE("will meet on ",inputHearing!B18," at ",inputHearing!B20," at ",inputHearing!B22," for the purpose of hearing and")</f>
        <v>will meet on  at  at  for the purpose of hearing and</v>
      </c>
      <c r="B5" s="745"/>
      <c r="C5" s="745"/>
      <c r="D5" s="745"/>
      <c r="E5" s="745"/>
      <c r="F5" s="745"/>
      <c r="G5" s="745"/>
      <c r="H5" s="745"/>
    </row>
    <row r="6" spans="1:9" ht="16.5" customHeight="1" x14ac:dyDescent="0.2">
      <c r="A6" s="664" t="s">
        <v>307</v>
      </c>
      <c r="B6" s="664"/>
      <c r="C6" s="664"/>
      <c r="D6" s="664"/>
      <c r="E6" s="664"/>
      <c r="F6" s="664"/>
      <c r="G6" s="664"/>
      <c r="H6" s="664"/>
    </row>
    <row r="7" spans="1:9" ht="16.5" customHeight="1" x14ac:dyDescent="0.2">
      <c r="A7" s="741" t="str">
        <f>CONCATENATE("Detailed budget information is available at ",inputHearing!B24," and will be available at this hearing.")</f>
        <v>Detailed budget information is available at  and will be available at this hearing.</v>
      </c>
      <c r="B7" s="741"/>
      <c r="C7" s="741"/>
      <c r="D7" s="741"/>
      <c r="E7" s="741"/>
      <c r="F7" s="741"/>
      <c r="G7" s="741"/>
      <c r="H7" s="741"/>
    </row>
    <row r="8" spans="1:9" x14ac:dyDescent="0.2">
      <c r="A8" s="32" t="s">
        <v>121</v>
      </c>
      <c r="B8" s="33"/>
      <c r="C8" s="33"/>
      <c r="D8" s="33"/>
      <c r="E8" s="33"/>
      <c r="F8" s="33"/>
      <c r="G8" s="33"/>
      <c r="H8" s="33"/>
    </row>
    <row r="9" spans="1:9" x14ac:dyDescent="0.2">
      <c r="A9" s="81" t="str">
        <f>CONCATENATE("Proposed Budget ",H2," Expenditures and Amount of ",H2-1," Ad Valorem Tax establish the maximum limits of the ",H2," budget.")</f>
        <v>Proposed Budget 2024 Expenditures and Amount of 2023 Ad Valorem Tax establish the maximum limits of the 2024 budget.</v>
      </c>
      <c r="B9" s="33"/>
      <c r="C9" s="33"/>
      <c r="D9" s="33"/>
      <c r="E9" s="33"/>
      <c r="F9" s="33"/>
      <c r="G9" s="33"/>
      <c r="H9" s="33"/>
    </row>
    <row r="10" spans="1:9" x14ac:dyDescent="0.2">
      <c r="A10" s="81" t="s">
        <v>143</v>
      </c>
      <c r="B10" s="33"/>
      <c r="C10" s="33"/>
      <c r="D10" s="33"/>
      <c r="E10" s="33"/>
      <c r="F10" s="33"/>
      <c r="G10" s="33"/>
      <c r="H10" s="33"/>
    </row>
    <row r="11" spans="1:9" x14ac:dyDescent="0.2">
      <c r="A11" s="28"/>
      <c r="B11" s="195"/>
      <c r="C11" s="195"/>
      <c r="D11" s="195"/>
      <c r="E11" s="195"/>
      <c r="F11" s="195"/>
      <c r="G11" s="195"/>
      <c r="H11" s="195"/>
    </row>
    <row r="12" spans="1:9" x14ac:dyDescent="0.2">
      <c r="A12" s="28"/>
      <c r="B12" s="226" t="str">
        <f>CONCATENATE("Prior Year Actual for ",H2-2,"")</f>
        <v>Prior Year Actual for 2022</v>
      </c>
      <c r="C12" s="84"/>
      <c r="D12" s="226" t="str">
        <f>CONCATENATE("Current Year Estimate for ",H2-1,"")</f>
        <v>Current Year Estimate for 2023</v>
      </c>
      <c r="E12" s="84"/>
      <c r="F12" s="82" t="str">
        <f>CONCATENATE("Proposed Budget Year for ",H2,"")</f>
        <v>Proposed Budget Year for 2024</v>
      </c>
      <c r="G12" s="83"/>
      <c r="H12" s="84"/>
    </row>
    <row r="13" spans="1:9" ht="29.25" customHeight="1" x14ac:dyDescent="0.2">
      <c r="A13" s="28"/>
      <c r="B13" s="751" t="s">
        <v>83</v>
      </c>
      <c r="C13" s="731" t="s">
        <v>720</v>
      </c>
      <c r="D13" s="751" t="s">
        <v>83</v>
      </c>
      <c r="E13" s="731" t="s">
        <v>720</v>
      </c>
      <c r="F13" s="729" t="s">
        <v>719</v>
      </c>
      <c r="G13" s="731" t="str">
        <f>CONCATENATE("Amount of ",H2-1," Ad Valorem Tax")</f>
        <v>Amount of 2023 Ad Valorem Tax</v>
      </c>
      <c r="H13" s="731" t="s">
        <v>721</v>
      </c>
    </row>
    <row r="14" spans="1:9" ht="16.5" customHeight="1" x14ac:dyDescent="0.2">
      <c r="A14" s="52" t="s">
        <v>82</v>
      </c>
      <c r="B14" s="752"/>
      <c r="C14" s="732"/>
      <c r="D14" s="752"/>
      <c r="E14" s="732"/>
      <c r="F14" s="730"/>
      <c r="G14" s="732"/>
      <c r="H14" s="732"/>
    </row>
    <row r="15" spans="1:9" x14ac:dyDescent="0.2">
      <c r="A15" s="52" t="str">
        <f>inputPrYr!B18</f>
        <v>General</v>
      </c>
      <c r="B15" s="52">
        <f>IF(General!$C$108&lt;&gt;0,General!$C$108,"  ")</f>
        <v>1209546</v>
      </c>
      <c r="C15" s="227">
        <f>IF(inputPrYr!D85&gt;0,inputPrYr!D85,"  ")</f>
        <v>38.634999999999998</v>
      </c>
      <c r="D15" s="52">
        <f>IF(General!$D$108&lt;&gt;0,General!$D$108,"  ")</f>
        <v>1366017</v>
      </c>
      <c r="E15" s="227">
        <f>IF(inputOth!D24&gt;0,inputOth!D24,"  ")</f>
        <v>39.895000000000003</v>
      </c>
      <c r="F15" s="52">
        <f>IF(General!$E$108&lt;&gt;0,General!$E$108,"  ")</f>
        <v>1537582</v>
      </c>
      <c r="G15" s="52">
        <f>IF(General!$E$115&lt;&gt;0,General!$E$115,"  ")</f>
        <v>936812</v>
      </c>
      <c r="H15" s="227">
        <f>IF(General!E115&gt;0,ROUND(G15/$F$58*1000,3),"")</f>
        <v>44.917999999999999</v>
      </c>
    </row>
    <row r="16" spans="1:9" x14ac:dyDescent="0.2">
      <c r="A16" s="52" t="str">
        <f>inputPrYr!B19</f>
        <v>Debt Service</v>
      </c>
      <c r="B16" s="52">
        <f>IF('DebtSvs-Library'!C33&lt;&gt;0,'DebtSvs-Library'!C33,"  ")</f>
        <v>42600</v>
      </c>
      <c r="C16" s="227">
        <f>IF(inputPrYr!D86&gt;0,inputPrYr!D86,"  ")</f>
        <v>0.26700000000000002</v>
      </c>
      <c r="D16" s="52">
        <f>IF('DebtSvs-Library'!D33&lt;&gt;0,'DebtSvs-Library'!D33,"  ")</f>
        <v>45000</v>
      </c>
      <c r="E16" s="227">
        <f>IF(inputOth!D25&gt;0,inputOth!D25,"  ")</f>
        <v>2.327</v>
      </c>
      <c r="F16" s="52">
        <f>IF('DebtSvs-Library'!E33&lt;&gt;0,'DebtSvs-Library'!E33,"  ")</f>
        <v>49000</v>
      </c>
      <c r="G16" s="52">
        <f>IF('DebtSvs-Library'!E40&lt;&gt;0,'DebtSvs-Library'!E40,"  ")</f>
        <v>45070</v>
      </c>
      <c r="H16" s="227">
        <f>IF('DebtSvs-Library'!E40&gt;0,ROUND(G16/$F$58*1000,3),"  ")</f>
        <v>2.161</v>
      </c>
    </row>
    <row r="17" spans="1:8" x14ac:dyDescent="0.2">
      <c r="A17" s="52" t="str">
        <f>IF(inputPrYr!$B20&gt;"  ",(inputPrYr!$B20),"  ")</f>
        <v>Library</v>
      </c>
      <c r="B17" s="52">
        <f>IF('DebtSvs-Library'!C73&lt;&gt;0,'DebtSvs-Library'!C73,"  ")</f>
        <v>91508</v>
      </c>
      <c r="C17" s="227">
        <f>IF(inputPrYr!D87&gt;0,inputPrYr!D87,"  ")</f>
        <v>4.7169999999999996</v>
      </c>
      <c r="D17" s="52">
        <f>IF('DebtSvs-Library'!D73&lt;&gt;0,'DebtSvs-Library'!D73,"  ")</f>
        <v>99787</v>
      </c>
      <c r="E17" s="227">
        <f>IF(inputOth!D26&gt;0,inputOth!D26,"  ")</f>
        <v>4.7750000000000004</v>
      </c>
      <c r="F17" s="52">
        <f>IF('DebtSvs-Library'!E73&lt;&gt;0,'DebtSvs-Library'!E73,"  ")</f>
        <v>106682</v>
      </c>
      <c r="G17" s="52">
        <f>IF('DebtSvs-Library'!E80&lt;&gt;0,'DebtSvs-Library'!E80,"  ")</f>
        <v>95503</v>
      </c>
      <c r="H17" s="227">
        <f>IF('DebtSvs-Library'!E80&lt;&gt;0,ROUND(G17/$F$58*1000,3),"  ")</f>
        <v>4.5789999999999997</v>
      </c>
    </row>
    <row r="18" spans="1:8" x14ac:dyDescent="0.2">
      <c r="A18" s="52" t="str">
        <f>IF(inputPrYr!$B22&gt;"  ",(inputPrYr!$B22),"  ")</f>
        <v>Employee Benefits</v>
      </c>
      <c r="B18" s="52">
        <f>IF('Employ Benys'!$C$32&gt;0,'Employ Benys'!$C$32,"  ")</f>
        <v>103324</v>
      </c>
      <c r="C18" s="227">
        <f>IF(inputPrYr!D88&gt;0,inputPrYr!D88,"  ")</f>
        <v>5.9939999999999998</v>
      </c>
      <c r="D18" s="52">
        <f>IF('Employ Benys'!$D$32&gt;0,'Employ Benys'!$D$32,"  ")</f>
        <v>125000</v>
      </c>
      <c r="E18" s="227">
        <f>IF(inputOth!D27&gt;0,inputOth!D27,"  ")</f>
        <v>5.8029999999999999</v>
      </c>
      <c r="F18" s="52">
        <f>IF('Employ Benys'!$E$32&gt;0,'Employ Benys'!$E$32,"  ")</f>
        <v>140000</v>
      </c>
      <c r="G18" s="52">
        <f>IF('Employ Benys'!$E$39&lt;&gt;0,'Employ Benys'!$E$39,"  ")</f>
        <v>107998</v>
      </c>
      <c r="H18" s="227">
        <f>IF('Employ Benys'!E39&lt;&gt;0,ROUND(G18/$F$58*1000,3),"  ")</f>
        <v>5.1779999999999999</v>
      </c>
    </row>
    <row r="19" spans="1:8" x14ac:dyDescent="0.2">
      <c r="A19" s="52" t="str">
        <f>IF(inputPrYr!$B23&gt;"  ",(inputPrYr!$B23),"  ")</f>
        <v>Library Employee Benefits</v>
      </c>
      <c r="B19" s="52">
        <f>IF('Employ Benys'!$C$72&gt;0,'Employ Benys'!$C$72,"  ")</f>
        <v>7860</v>
      </c>
      <c r="C19" s="227">
        <f>IF(inputPrYr!D89&gt;0,inputPrYr!D89,"  ")</f>
        <v>0.46</v>
      </c>
      <c r="D19" s="52">
        <f>IF('Employ Benys'!$D$72&gt;0,'Employ Benys'!$D$72,"  ")</f>
        <v>8600</v>
      </c>
      <c r="E19" s="227">
        <f>IF(inputOth!D28&gt;0,inputOth!D28,"  ")</f>
        <v>0.40699999999999997</v>
      </c>
      <c r="F19" s="52">
        <f>IF('Employ Benys'!$E$72&gt;0,'Employ Benys'!$E$72,"  ")</f>
        <v>8600</v>
      </c>
      <c r="G19" s="52">
        <f>IF('Employ Benys'!$E$79&lt;&gt;0,'Employ Benys'!$E$79,"  ")</f>
        <v>7895</v>
      </c>
      <c r="H19" s="227">
        <f>IF('Employ Benys'!E79&lt;&gt;0,ROUND(G19/$F$58*1000,3),"  ")</f>
        <v>0.379</v>
      </c>
    </row>
    <row r="20" spans="1:8" x14ac:dyDescent="0.2">
      <c r="A20" s="52" t="str">
        <f>IF(inputPrYr!$B24&gt;"  ",(inputPrYr!$B24),"  ")</f>
        <v>Special Tort Claim</v>
      </c>
      <c r="B20" s="52">
        <f>IF(tort!$C$33&gt;0,tort!$C$33,"  ")</f>
        <v>33920</v>
      </c>
      <c r="C20" s="227">
        <f>IF(inputPrYr!D90&gt;0,inputPrYr!D90,"  ")</f>
        <v>1.5049999999999999</v>
      </c>
      <c r="D20" s="52">
        <f>IF(tort!$D$33&gt;0,tort!$D$33,"  ")</f>
        <v>40000</v>
      </c>
      <c r="E20" s="227">
        <f>IF(inputOth!D29&gt;0,inputOth!D29,"  ")</f>
        <v>1.748</v>
      </c>
      <c r="F20" s="52">
        <f>IF(tort!$E$33&gt;0,tort!$E$33,"  ")</f>
        <v>42000</v>
      </c>
      <c r="G20" s="52">
        <f>IF(tort!$E$40&lt;&gt;0,tort!$E$40,"  ")</f>
        <v>36032</v>
      </c>
      <c r="H20" s="227">
        <f>IF(tort!E40&lt;&gt;0,ROUND(G20/$F$58*1000,3),"  ")</f>
        <v>1.728</v>
      </c>
    </row>
    <row r="21" spans="1:8" x14ac:dyDescent="0.2">
      <c r="A21" s="52" t="str">
        <f>IF(inputPrYr!$B25&gt;"  ",(inputPrYr!$B25),"  ")</f>
        <v xml:space="preserve">  </v>
      </c>
      <c r="B21" s="52" t="str">
        <f>IF(tort!$C$72&gt;0,tort!$C$72,"  ")</f>
        <v xml:space="preserve">  </v>
      </c>
      <c r="C21" s="227" t="str">
        <f>IF(inputPrYr!D91&gt;0,inputPrYr!D91,"  ")</f>
        <v xml:space="preserve">  </v>
      </c>
      <c r="D21" s="52" t="str">
        <f>IF(tort!$D$72&gt;0,tort!$D$72,"  ")</f>
        <v xml:space="preserve">  </v>
      </c>
      <c r="E21" s="227" t="str">
        <f>IF(inputOth!D30&gt;0,inputOth!D30,"  ")</f>
        <v xml:space="preserve">  </v>
      </c>
      <c r="F21" s="52" t="str">
        <f>IF(tort!$E$72&gt;0,tort!$E$72,"  ")</f>
        <v xml:space="preserve">  </v>
      </c>
      <c r="G21" s="52" t="str">
        <f>IF(tort!$E$79&lt;&gt;0,tort!$E$79,"  ")</f>
        <v xml:space="preserve">  </v>
      </c>
      <c r="H21" s="227" t="str">
        <f>IF(tort!E79&lt;&gt;0,ROUND(G21/$F$58*1000,3),"  ")</f>
        <v xml:space="preserve">  </v>
      </c>
    </row>
    <row r="22" spans="1:8" x14ac:dyDescent="0.2">
      <c r="A22" s="52" t="str">
        <f>IF(inputPrYr!$B26&gt;"  ",(inputPrYr!$B26),"  ")</f>
        <v xml:space="preserve">  </v>
      </c>
      <c r="B22" s="52" t="e">
        <f>IF(#REF!&gt;0,#REF!,"  ")</f>
        <v>#REF!</v>
      </c>
      <c r="C22" s="227" t="str">
        <f>IF(inputPrYr!D92&gt;0,inputPrYr!D92,"  ")</f>
        <v xml:space="preserve">  </v>
      </c>
      <c r="D22" s="52" t="e">
        <f>IF(#REF!&gt;0,#REF!,"  ")</f>
        <v>#REF!</v>
      </c>
      <c r="E22" s="227" t="str">
        <f>IF(inputOth!D31&gt;0,inputOth!D31,"  ")</f>
        <v xml:space="preserve">  </v>
      </c>
      <c r="F22" s="52" t="e">
        <f>IF(#REF!&gt;0,#REF!,"  ")</f>
        <v>#REF!</v>
      </c>
      <c r="G22" s="52" t="e">
        <f>IF(#REF!&lt;&gt;0,#REF!,"  ")</f>
        <v>#REF!</v>
      </c>
      <c r="H22" s="227" t="e">
        <f>IF(#REF!&lt;&gt;0,ROUND(G22/$F$58*1000,3),"  ")</f>
        <v>#REF!</v>
      </c>
    </row>
    <row r="23" spans="1:8" x14ac:dyDescent="0.2">
      <c r="A23" s="52" t="str">
        <f>IF(inputPrYr!$B27&gt;"  ",(inputPrYr!$B27),"  ")</f>
        <v xml:space="preserve">  </v>
      </c>
      <c r="B23" s="52" t="e">
        <f>IF(#REF!&gt;0,#REF!,"  ")</f>
        <v>#REF!</v>
      </c>
      <c r="C23" s="227" t="str">
        <f>IF(inputPrYr!D93&gt;0,inputPrYr!D93,"  ")</f>
        <v xml:space="preserve">  </v>
      </c>
      <c r="D23" s="52" t="e">
        <f>IF(#REF!&gt;0,#REF!,"  ")</f>
        <v>#REF!</v>
      </c>
      <c r="E23" s="227" t="str">
        <f>IF(inputOth!D32&gt;0,inputOth!D32,"  ")</f>
        <v xml:space="preserve">  </v>
      </c>
      <c r="F23" s="52" t="e">
        <f>IF(#REF!&gt;0,#REF!,"  ")</f>
        <v>#REF!</v>
      </c>
      <c r="G23" s="52" t="e">
        <f>IF(#REF!&lt;&gt;0,#REF!,"  ")</f>
        <v>#REF!</v>
      </c>
      <c r="H23" s="227" t="e">
        <f>IF(#REF!&lt;&gt;0,ROUND(G23/$F$58*1000,3),"  ")</f>
        <v>#REF!</v>
      </c>
    </row>
    <row r="24" spans="1:8" x14ac:dyDescent="0.2">
      <c r="A24" s="52" t="str">
        <f>IF(inputPrYr!$B28&gt;"  ",(inputPrYr!$B28),"  ")</f>
        <v xml:space="preserve">  </v>
      </c>
      <c r="B24" s="52" t="e">
        <f>IF(#REF!&gt;0,#REF!,"  ")</f>
        <v>#REF!</v>
      </c>
      <c r="C24" s="227" t="str">
        <f>IF(inputPrYr!D94&gt;0,inputPrYr!D94,"  ")</f>
        <v xml:space="preserve">  </v>
      </c>
      <c r="D24" s="52" t="e">
        <f>IF(#REF!&gt;0,#REF!,"  ")</f>
        <v>#REF!</v>
      </c>
      <c r="E24" s="227" t="str">
        <f>IF(inputOth!D33&gt;0,inputOth!D33,"  ")</f>
        <v xml:space="preserve">  </v>
      </c>
      <c r="F24" s="52" t="e">
        <f>IF(#REF!&gt;0,#REF!,"  ")</f>
        <v>#REF!</v>
      </c>
      <c r="G24" s="52" t="e">
        <f>IF(#REF!&lt;&gt;0,#REF!,"  ")</f>
        <v>#REF!</v>
      </c>
      <c r="H24" s="227" t="e">
        <f>IF(#REF!&lt;&gt;0,ROUND(G24/$F$58*1000,3),"  ")</f>
        <v>#REF!</v>
      </c>
    </row>
    <row r="25" spans="1:8" x14ac:dyDescent="0.2">
      <c r="A25" s="52" t="str">
        <f>IF(inputPrYr!$B29&gt;"  ",(inputPrYr!$B29),"  ")</f>
        <v xml:space="preserve">  </v>
      </c>
      <c r="B25" s="52" t="e">
        <f>IF(#REF!&gt;0,#REF!,"  ")</f>
        <v>#REF!</v>
      </c>
      <c r="C25" s="227" t="str">
        <f>IF(inputPrYr!D95&gt;0,inputPrYr!D95,"  ")</f>
        <v xml:space="preserve">  </v>
      </c>
      <c r="D25" s="52" t="e">
        <f>IF(#REF!&gt;0,#REF!,"  ")</f>
        <v>#REF!</v>
      </c>
      <c r="E25" s="227" t="str">
        <f>IF(inputOth!D34&gt;0,inputOth!D34,"  ")</f>
        <v xml:space="preserve">  </v>
      </c>
      <c r="F25" s="52" t="e">
        <f>IF(#REF!&gt;0,#REF!,"  ")</f>
        <v>#REF!</v>
      </c>
      <c r="G25" s="52" t="e">
        <f>IF(#REF!&lt;&gt;0,#REF!,"  ")</f>
        <v>#REF!</v>
      </c>
      <c r="H25" s="227" t="e">
        <f>IF(#REF!&lt;&gt;0,ROUND(G25/$F$58*1000,3),"  ")</f>
        <v>#REF!</v>
      </c>
    </row>
    <row r="26" spans="1:8" x14ac:dyDescent="0.2">
      <c r="A26" s="52" t="str">
        <f>IF(inputPrYr!$B30&gt;"  ",(inputPrYr!$B30),"  ")</f>
        <v xml:space="preserve">  </v>
      </c>
      <c r="B26" s="52" t="e">
        <f>IF(#REF!&gt;0,#REF!,"  ")</f>
        <v>#REF!</v>
      </c>
      <c r="C26" s="227" t="str">
        <f>IF(inputPrYr!D96&gt;0,inputPrYr!D96,"  ")</f>
        <v xml:space="preserve">  </v>
      </c>
      <c r="D26" s="52" t="e">
        <f>IF(#REF!&gt;0,#REF!,"  ")</f>
        <v>#REF!</v>
      </c>
      <c r="E26" s="227" t="str">
        <f>IF(inputOth!D35&gt;0,inputOth!D35,"  ")</f>
        <v xml:space="preserve">  </v>
      </c>
      <c r="F26" s="52" t="e">
        <f>IF(#REF!&gt;0,#REF!,"  ")</f>
        <v>#REF!</v>
      </c>
      <c r="G26" s="52" t="e">
        <f>IF(#REF!&lt;&gt;0,#REF!,"  ")</f>
        <v>#REF!</v>
      </c>
      <c r="H26" s="227" t="e">
        <f>IF(#REF!&lt;&gt;0,ROUND(G26/$F$58*1000,3),"  ")</f>
        <v>#REF!</v>
      </c>
    </row>
    <row r="27" spans="1:8" x14ac:dyDescent="0.2">
      <c r="A27" s="52" t="str">
        <f>IF(inputPrYr!B31&gt;"  ",(inputPrYr!B31),"  ")</f>
        <v xml:space="preserve">  </v>
      </c>
      <c r="B27" s="52" t="e">
        <f>IF(#REF!&gt;0,#REF!,"  ")</f>
        <v>#REF!</v>
      </c>
      <c r="C27" s="227" t="str">
        <f>IF(inputPrYr!D97&gt;0,inputPrYr!D97,"  ")</f>
        <v xml:space="preserve">  </v>
      </c>
      <c r="D27" s="52" t="e">
        <f>IF(#REF!&gt;0,#REF!,"  ")</f>
        <v>#REF!</v>
      </c>
      <c r="E27" s="227" t="str">
        <f>IF(inputOth!D36&gt;0,inputOth!D36,"  ")</f>
        <v xml:space="preserve">  </v>
      </c>
      <c r="F27" s="52" t="e">
        <f>IF(#REF!&gt;0,#REF!,"  ")</f>
        <v>#REF!</v>
      </c>
      <c r="G27" s="52" t="e">
        <f>IF(#REF!&lt;&gt;0,#REF!,"  ")</f>
        <v>#REF!</v>
      </c>
      <c r="H27" s="227" t="e">
        <f>IF(#REF!&lt;&gt;0,ROUND(G27/$F$58*1000,3),"  ")</f>
        <v>#REF!</v>
      </c>
    </row>
    <row r="28" spans="1:8" x14ac:dyDescent="0.2">
      <c r="A28" s="52" t="str">
        <f>IF(inputPrYr!$B35&gt;"  ",(inputPrYr!$B35),"  ")</f>
        <v>Special Highway</v>
      </c>
      <c r="B28" s="52" t="str">
        <f>IF('Spec Hwy'!$C$26&gt;0,'Spec Hwy'!$C$26,"  ")</f>
        <v xml:space="preserve">  </v>
      </c>
      <c r="C28" s="38"/>
      <c r="D28" s="52" t="str">
        <f>IF('Spec Hwy'!$D$26&gt;0,'Spec Hwy'!$D$26,"  ")</f>
        <v xml:space="preserve">  </v>
      </c>
      <c r="E28" s="38"/>
      <c r="F28" s="52" t="str">
        <f>IF('Spec Hwy'!$E$26&gt;0,'Spec Hwy'!$E$26,"  ")</f>
        <v xml:space="preserve">  </v>
      </c>
      <c r="G28" s="52"/>
      <c r="H28" s="227"/>
    </row>
    <row r="29" spans="1:8" x14ac:dyDescent="0.2">
      <c r="A29" s="52" t="str">
        <f>IF(inputPrYr!$B36&gt;"  ",(inputPrYr!$B36),"  ")</f>
        <v>Building Capital Improvement</v>
      </c>
      <c r="B29" s="52" t="str">
        <f>IF('Spec Hwy'!$C$57&gt;0,'Spec Hwy'!$C$57,"  ")</f>
        <v xml:space="preserve">  </v>
      </c>
      <c r="C29" s="38"/>
      <c r="D29" s="52" t="str">
        <f>IF('Spec Hwy'!$D$57&gt;0,'Spec Hwy'!$D$57,"  ")</f>
        <v xml:space="preserve">  </v>
      </c>
      <c r="E29" s="38"/>
      <c r="F29" s="52" t="str">
        <f>IF('Spec Hwy'!$E$57&gt;0,'Spec Hwy'!$E$57,"  ")</f>
        <v xml:space="preserve">  </v>
      </c>
      <c r="G29" s="52"/>
      <c r="H29" s="227"/>
    </row>
    <row r="30" spans="1:8" x14ac:dyDescent="0.2">
      <c r="A30" s="52" t="str">
        <f>IF(inputPrYr!$B37&gt;"  ",(inputPrYr!$B37),"  ")</f>
        <v>Cemetary Perpetual Care</v>
      </c>
      <c r="B30" s="52" t="str">
        <f>IF(cemetary!$C$28&gt;0,cemetary!$C$28,"  ")</f>
        <v xml:space="preserve">  </v>
      </c>
      <c r="C30" s="38"/>
      <c r="D30" s="52" t="str">
        <f>IF(cemetary!$D$28&gt;0,cemetary!$D$28,"  ")</f>
        <v xml:space="preserve">  </v>
      </c>
      <c r="E30" s="38"/>
      <c r="F30" s="52" t="str">
        <f>IF(cemetary!$E$28&gt;0,cemetary!$E$28,"  ")</f>
        <v xml:space="preserve">  </v>
      </c>
      <c r="G30" s="52"/>
      <c r="H30" s="227"/>
    </row>
    <row r="31" spans="1:8" x14ac:dyDescent="0.2">
      <c r="A31" s="52" t="str">
        <f>IF(inputPrYr!$B38&gt;"  ",(inputPrYr!$B38),"  ")</f>
        <v xml:space="preserve">  </v>
      </c>
      <c r="B31" s="52" t="str">
        <f>IF(cemetary!$C$57&gt;0,cemetary!$C$57,"  ")</f>
        <v xml:space="preserve">  </v>
      </c>
      <c r="C31" s="38"/>
      <c r="D31" s="52" t="str">
        <f>IF(cemetary!$D$57&gt;0,cemetary!$D$57,"  ")</f>
        <v xml:space="preserve">  </v>
      </c>
      <c r="E31" s="38"/>
      <c r="F31" s="52" t="str">
        <f>IF(cemetary!$E$57&gt;0,cemetary!$E$57,"  ")</f>
        <v xml:space="preserve">  </v>
      </c>
      <c r="G31" s="52"/>
      <c r="H31" s="227"/>
    </row>
    <row r="32" spans="1:8" x14ac:dyDescent="0.2">
      <c r="A32" s="52" t="str">
        <f>IF(inputPrYr!$B39&gt;"  ",(inputPrYr!$B39),"  ")</f>
        <v xml:space="preserve">  </v>
      </c>
      <c r="B32" s="52" t="e">
        <f>IF(#REF!&gt;0,#REF!,"  ")</f>
        <v>#REF!</v>
      </c>
      <c r="C32" s="38"/>
      <c r="D32" s="52" t="e">
        <f>IF(#REF!&gt;0,#REF!,"  ")</f>
        <v>#REF!</v>
      </c>
      <c r="E32" s="38"/>
      <c r="F32" s="52" t="e">
        <f>IF(#REF!&gt;0,#REF!,"  ")</f>
        <v>#REF!</v>
      </c>
      <c r="G32" s="38"/>
      <c r="H32" s="38"/>
    </row>
    <row r="33" spans="1:13" x14ac:dyDescent="0.2">
      <c r="A33" s="52" t="str">
        <f>IF(inputPrYr!$B40&gt;"  ",(inputPrYr!$B40),"  ")</f>
        <v xml:space="preserve">  </v>
      </c>
      <c r="B33" s="52" t="e">
        <f>IF(#REF!&gt;0,#REF!,"  ")</f>
        <v>#REF!</v>
      </c>
      <c r="C33" s="38"/>
      <c r="D33" s="52" t="e">
        <f>IF(#REF!&gt;0,#REF!,"  ")</f>
        <v>#REF!</v>
      </c>
      <c r="E33" s="38"/>
      <c r="F33" s="52" t="e">
        <f>IF(#REF!&gt;0,#REF!,"  ")</f>
        <v>#REF!</v>
      </c>
      <c r="G33" s="38"/>
      <c r="H33" s="38"/>
    </row>
    <row r="34" spans="1:13" x14ac:dyDescent="0.2">
      <c r="A34" s="52" t="str">
        <f>IF(inputPrYr!$B41&gt;"  ",(inputPrYr!$B41),"  ")</f>
        <v xml:space="preserve">  </v>
      </c>
      <c r="B34" s="52" t="e">
        <f>IF(#REF!&gt;0,#REF!,"  ")</f>
        <v>#REF!</v>
      </c>
      <c r="C34" s="38"/>
      <c r="D34" s="52" t="e">
        <f>IF(#REF!&gt;0,#REF!,"  ")</f>
        <v>#REF!</v>
      </c>
      <c r="E34" s="38"/>
      <c r="F34" s="52" t="e">
        <f>IF(#REF!&gt;0,#REF!,"  ")</f>
        <v>#REF!</v>
      </c>
      <c r="G34" s="38"/>
      <c r="H34" s="38"/>
    </row>
    <row r="35" spans="1:13" x14ac:dyDescent="0.2">
      <c r="A35" s="52" t="str">
        <f>IF(inputPrYr!$B42&gt;"  ",(inputPrYr!$B42),"  ")</f>
        <v xml:space="preserve">  </v>
      </c>
      <c r="B35" s="52" t="e">
        <f>IF(#REF!&gt;0,#REF!,"  ")</f>
        <v>#REF!</v>
      </c>
      <c r="C35" s="38"/>
      <c r="D35" s="52" t="e">
        <f>IF(#REF!&gt;0,#REF!,"  ")</f>
        <v>#REF!</v>
      </c>
      <c r="E35" s="38"/>
      <c r="F35" s="52" t="e">
        <f>IF(#REF!&gt;0,#REF!,"  ")</f>
        <v>#REF!</v>
      </c>
      <c r="G35" s="38"/>
      <c r="H35" s="38"/>
    </row>
    <row r="36" spans="1:13" x14ac:dyDescent="0.2">
      <c r="A36" s="52" t="str">
        <f>IF(inputPrYr!$B43&gt;"  ",(inputPrYr!$B43),"  ")</f>
        <v xml:space="preserve">  </v>
      </c>
      <c r="B36" s="52" t="e">
        <f>IF(#REF!&gt;0,#REF!,"  ")</f>
        <v>#REF!</v>
      </c>
      <c r="C36" s="38"/>
      <c r="D36" s="52" t="e">
        <f>IF(#REF!&gt;0,#REF!,"  ")</f>
        <v>#REF!</v>
      </c>
      <c r="E36" s="38"/>
      <c r="F36" s="52" t="e">
        <f>IF(#REF!&gt;0,#REF!,"  ")</f>
        <v>#REF!</v>
      </c>
      <c r="G36" s="38"/>
      <c r="H36" s="38"/>
    </row>
    <row r="37" spans="1:13" x14ac:dyDescent="0.2">
      <c r="A37" s="52" t="str">
        <f>IF(inputPrYr!$B44&gt;"  ",(inputPrYr!$B44),"  ")</f>
        <v xml:space="preserve">  </v>
      </c>
      <c r="B37" s="52" t="e">
        <f>IF(#REF!&gt;0,#REF!,"  ")</f>
        <v>#REF!</v>
      </c>
      <c r="C37" s="38"/>
      <c r="D37" s="52" t="e">
        <f>IF(#REF!&gt;0,#REF!,"  ")</f>
        <v>#REF!</v>
      </c>
      <c r="E37" s="38"/>
      <c r="F37" s="52" t="e">
        <f>IF(#REF!&gt;0,#REF!,"  ")</f>
        <v>#REF!</v>
      </c>
      <c r="G37" s="38"/>
      <c r="H37" s="38"/>
    </row>
    <row r="38" spans="1:13" x14ac:dyDescent="0.2">
      <c r="A38" s="52" t="str">
        <f>IF(inputPrYr!$B45&gt;"  ",(inputPrYr!$B45),"  ")</f>
        <v xml:space="preserve">  </v>
      </c>
      <c r="B38" s="52" t="e">
        <f>IF(#REF!&gt;0,#REF!,"  ")</f>
        <v>#REF!</v>
      </c>
      <c r="C38" s="38"/>
      <c r="D38" s="52" t="e">
        <f>IF(#REF!&gt;0,#REF!,"  ")</f>
        <v>#REF!</v>
      </c>
      <c r="E38" s="38"/>
      <c r="F38" s="52" t="e">
        <f>IF(#REF!&gt;0,#REF!,"  ")</f>
        <v>#REF!</v>
      </c>
      <c r="G38" s="38"/>
      <c r="H38" s="38"/>
    </row>
    <row r="39" spans="1:13" x14ac:dyDescent="0.2">
      <c r="A39" s="52" t="str">
        <f>IF(inputPrYr!$B46&gt;"  ",(inputPrYr!$B46),"  ")</f>
        <v xml:space="preserve">  </v>
      </c>
      <c r="B39" s="52" t="e">
        <f>IF(#REF!&gt;0,#REF!,"  ")</f>
        <v>#REF!</v>
      </c>
      <c r="C39" s="38"/>
      <c r="D39" s="52" t="e">
        <f>IF(#REF!&gt;0,#REF!,"  ")</f>
        <v>#REF!</v>
      </c>
      <c r="E39" s="38"/>
      <c r="F39" s="52" t="e">
        <f>IF(#REF!&gt;0,#REF!,"  ")</f>
        <v>#REF!</v>
      </c>
      <c r="G39" s="38"/>
      <c r="H39" s="38"/>
    </row>
    <row r="40" spans="1:13" x14ac:dyDescent="0.2">
      <c r="A40" s="52" t="str">
        <f>IF(inputPrYr!$B47&gt;"  ",(inputPrYr!$B47),"  ")</f>
        <v xml:space="preserve">  </v>
      </c>
      <c r="B40" s="52" t="e">
        <f>IF(#REF!&gt;0,#REF!,"  ")</f>
        <v>#REF!</v>
      </c>
      <c r="C40" s="38"/>
      <c r="D40" s="52" t="e">
        <f>IF(#REF!&gt;0,#REF!,"  ")</f>
        <v>#REF!</v>
      </c>
      <c r="E40" s="38"/>
      <c r="F40" s="52" t="e">
        <f>IF(#REF!&gt;0,#REF!,"  ")</f>
        <v>#REF!</v>
      </c>
      <c r="G40" s="38"/>
      <c r="H40" s="38"/>
    </row>
    <row r="41" spans="1:13" x14ac:dyDescent="0.25">
      <c r="A41" s="52" t="str">
        <f>IF(inputPrYr!$B48&gt;"  ",(inputPrYr!$B48),"  ")</f>
        <v xml:space="preserve">  </v>
      </c>
      <c r="B41" s="52" t="e">
        <f>IF(#REF!&gt;0,#REF!,"  ")</f>
        <v>#REF!</v>
      </c>
      <c r="C41" s="38"/>
      <c r="D41" s="52" t="e">
        <f>IF(#REF!&gt;0,#REF!,"  ")</f>
        <v>#REF!</v>
      </c>
      <c r="E41" s="38"/>
      <c r="F41" s="52" t="e">
        <f>IF(#REF!&gt;0,#REF!,"  ")</f>
        <v>#REF!</v>
      </c>
      <c r="G41" s="38"/>
      <c r="H41" s="38"/>
      <c r="J41" s="742" t="str">
        <f>CONCATENATE("Estimated Value Of One Mill For ",H2,"")</f>
        <v>Estimated Value Of One Mill For 2024</v>
      </c>
      <c r="K41" s="743"/>
      <c r="L41" s="743"/>
      <c r="M41" s="744"/>
    </row>
    <row r="42" spans="1:13" x14ac:dyDescent="0.25">
      <c r="A42" s="52" t="str">
        <f>IF(inputPrYr!$B49&gt;"  ",(inputPrYr!$B49),"  ")</f>
        <v xml:space="preserve">  </v>
      </c>
      <c r="B42" s="52" t="e">
        <f>IF(#REF!&gt;0,#REF!,"  ")</f>
        <v>#REF!</v>
      </c>
      <c r="C42" s="38"/>
      <c r="D42" s="52" t="e">
        <f>IF(#REF!&gt;0,#REF!,"  ")</f>
        <v>#REF!</v>
      </c>
      <c r="E42" s="38"/>
      <c r="F42" s="52" t="e">
        <f>IF(#REF!&gt;0,#REF!,"  ")</f>
        <v>#REF!</v>
      </c>
      <c r="G42" s="38"/>
      <c r="H42" s="38"/>
      <c r="J42" s="312"/>
      <c r="K42" s="313"/>
      <c r="L42" s="313"/>
      <c r="M42" s="314"/>
    </row>
    <row r="43" spans="1:13" x14ac:dyDescent="0.25">
      <c r="A43" s="52" t="str">
        <f>IF(inputPrYr!$B50&gt;"  ",(inputPrYr!$B50),"  ")</f>
        <v xml:space="preserve">  </v>
      </c>
      <c r="B43" s="52" t="e">
        <f>IF(#REF!&gt;0,#REF!,"  ")</f>
        <v>#REF!</v>
      </c>
      <c r="C43" s="38"/>
      <c r="D43" s="52" t="e">
        <f>IF(#REF!&gt;0,#REF!,"  ")</f>
        <v>#REF!</v>
      </c>
      <c r="E43" s="38"/>
      <c r="F43" s="52" t="e">
        <f>IF(#REF!&gt;0,#REF!,"  ")</f>
        <v>#REF!</v>
      </c>
      <c r="G43" s="38"/>
      <c r="H43" s="38"/>
      <c r="J43" s="315" t="s">
        <v>341</v>
      </c>
      <c r="K43" s="316"/>
      <c r="L43" s="316"/>
      <c r="M43" s="499">
        <f>ROUND(F58/1000,0)</f>
        <v>20856</v>
      </c>
    </row>
    <row r="44" spans="1:13" x14ac:dyDescent="0.2">
      <c r="A44" s="52" t="str">
        <f>IF(inputPrYr!$B52&gt;"  ",(inputPrYr!$B52),"  ")</f>
        <v>Combined Sales Tax Improv</v>
      </c>
      <c r="B44" s="52" t="str">
        <f>IF('Combined sales tax'!$C$44&gt;0,'Combined sales tax'!$C$44,"  ")</f>
        <v xml:space="preserve">  </v>
      </c>
      <c r="C44" s="38"/>
      <c r="D44" s="52" t="str">
        <f>IF('Combined sales tax'!$D$44&gt;0,'Combined sales tax'!$D$44,"  ")</f>
        <v xml:space="preserve">  </v>
      </c>
      <c r="E44" s="38"/>
      <c r="F44" s="52" t="str">
        <f>IF('Combined sales tax'!$E$44&gt;0,'Combined sales tax'!$E$44,"  ")</f>
        <v xml:space="preserve">  </v>
      </c>
      <c r="G44" s="38"/>
      <c r="H44" s="38"/>
    </row>
    <row r="45" spans="1:13" x14ac:dyDescent="0.25">
      <c r="A45" s="52" t="str">
        <f>IF(inputPrYr!$B53&gt;"  ",(inputPrYr!$B53),"  ")</f>
        <v>Community Enhanc Sales Tax</v>
      </c>
      <c r="B45" s="52" t="str">
        <f>IF('Community sales tax'!$C$44&gt;0,'Community sales tax'!$C$44,"  ")</f>
        <v xml:space="preserve">  </v>
      </c>
      <c r="C45" s="38"/>
      <c r="D45" s="52" t="str">
        <f>IF('Community sales tax'!$D$44&gt;0,'Community sales tax'!$D$44,"  ")</f>
        <v xml:space="preserve">  </v>
      </c>
      <c r="E45" s="38"/>
      <c r="F45" s="52" t="str">
        <f>IF('Community sales tax'!$E$44&gt;0,'Community sales tax'!$E$44,"  ")</f>
        <v xml:space="preserve">  </v>
      </c>
      <c r="G45" s="38"/>
      <c r="H45" s="38"/>
      <c r="J45" s="742" t="str">
        <f>CONCATENATE("Want The Mill Rate The Same As For ",H2-1,"?")</f>
        <v>Want The Mill Rate The Same As For 2023?</v>
      </c>
      <c r="K45" s="743"/>
      <c r="L45" s="743"/>
      <c r="M45" s="744"/>
    </row>
    <row r="46" spans="1:13" x14ac:dyDescent="0.25">
      <c r="A46" s="52" t="str">
        <f>IF(inputPrYr!$B54&gt;"  ",(inputPrYr!$B54),"  ")</f>
        <v>Water/Sewer/Refuse Utitly</v>
      </c>
      <c r="B46" s="52" t="str">
        <f>IF('WaterSewer Utility'!$C$44&gt;0,'WaterSewer Utility'!$C$44,"  ")</f>
        <v xml:space="preserve">  </v>
      </c>
      <c r="C46" s="38"/>
      <c r="D46" s="52" t="str">
        <f>IF('WaterSewer Utility'!$D$44&gt;0,'WaterSewer Utility'!$D$44,"  ")</f>
        <v xml:space="preserve">  </v>
      </c>
      <c r="E46" s="38"/>
      <c r="F46" s="52" t="str">
        <f>IF('WaterSewer Utility'!$E$44&gt;0,'WaterSewer Utility'!$E$44,"  ")</f>
        <v xml:space="preserve">  </v>
      </c>
      <c r="G46" s="38"/>
      <c r="H46" s="38"/>
      <c r="J46" s="319"/>
      <c r="K46" s="313"/>
      <c r="L46" s="313"/>
      <c r="M46" s="320"/>
    </row>
    <row r="47" spans="1:13" x14ac:dyDescent="0.25">
      <c r="A47" s="52" t="str">
        <f>IF(inputPrYr!$B55&gt;"  ",(inputPrYr!$B55),"  ")</f>
        <v xml:space="preserve">  </v>
      </c>
      <c r="B47" s="52" t="e">
        <f>IF(#REF!&gt;0,#REF!,"  ")</f>
        <v>#REF!</v>
      </c>
      <c r="C47" s="38"/>
      <c r="D47" s="52" t="e">
        <f>IF(#REF!&gt;0,#REF!,"  ")</f>
        <v>#REF!</v>
      </c>
      <c r="E47" s="38"/>
      <c r="F47" s="52" t="e">
        <f>IF(#REF!&gt;0,#REF!,"  ")</f>
        <v>#REF!</v>
      </c>
      <c r="G47" s="38"/>
      <c r="H47" s="38"/>
      <c r="J47" s="319" t="str">
        <f>CONCATENATE("",H2-1," Mill Rate Was:")</f>
        <v>2023 Mill Rate Was:</v>
      </c>
      <c r="K47" s="313"/>
      <c r="L47" s="313"/>
      <c r="M47" s="321">
        <f>E52</f>
        <v>54.954999999999991</v>
      </c>
    </row>
    <row r="48" spans="1:13" x14ac:dyDescent="0.25">
      <c r="A48" s="52" t="str">
        <f>IF(inputPrYr!$B58&gt;"  ",('Reserve Funds A'!$A3),"  ")</f>
        <v>Non-Budgeted Funds-A</v>
      </c>
      <c r="B48" s="52" t="str">
        <f>IF('Reserve Funds A'!$K$28&gt;0,'Reserve Funds A'!$K$28,"  ")</f>
        <v xml:space="preserve">  </v>
      </c>
      <c r="C48" s="38"/>
      <c r="D48" s="52"/>
      <c r="E48" s="38"/>
      <c r="F48" s="52"/>
      <c r="G48" s="38"/>
      <c r="H48" s="38"/>
      <c r="J48" s="322" t="str">
        <f>CONCATENATE("",H2," Tax Levy Fund Expenditures Must Be")</f>
        <v>2024 Tax Levy Fund Expenditures Must Be</v>
      </c>
      <c r="K48" s="323"/>
      <c r="L48" s="323"/>
      <c r="M48" s="320"/>
    </row>
    <row r="49" spans="1:13" x14ac:dyDescent="0.25">
      <c r="A49" s="52" t="str">
        <f>IF(inputPrYr!$B64&gt;"  ",('Reserve Funds B'!$A3),"  ")</f>
        <v>Non-Budgeted Funds-B</v>
      </c>
      <c r="B49" s="52" t="str">
        <f>IF('Reserve Funds B'!$K$28&gt;0,'Reserve Funds B'!$K$28,"  ")</f>
        <v xml:space="preserve">  </v>
      </c>
      <c r="C49" s="38"/>
      <c r="D49" s="52"/>
      <c r="E49" s="38"/>
      <c r="F49" s="52"/>
      <c r="G49" s="38"/>
      <c r="H49" s="38"/>
      <c r="J49" s="322" t="e">
        <f>IF(M49&gt;0,"Increased By:","")</f>
        <v>#REF!</v>
      </c>
      <c r="K49" s="323"/>
      <c r="L49" s="323"/>
      <c r="M49" s="361" t="e">
        <f>IF(M56&lt;0,M56*-1,0)</f>
        <v>#REF!</v>
      </c>
    </row>
    <row r="50" spans="1:13" x14ac:dyDescent="0.2">
      <c r="A50" s="52" t="str">
        <f>IF(inputPrYr!$B70&gt;"  ",(#REF!),"  ")</f>
        <v xml:space="preserve">  </v>
      </c>
      <c r="B50" s="52" t="e">
        <f>IF(#REF!&gt;0,#REF!,"  ")</f>
        <v>#REF!</v>
      </c>
      <c r="C50" s="38"/>
      <c r="D50" s="52"/>
      <c r="E50" s="38"/>
      <c r="F50" s="52"/>
      <c r="G50" s="38"/>
      <c r="H50" s="38"/>
      <c r="J50" s="362" t="e">
        <f>IF(M50&lt;0,"Reduced By:","")</f>
        <v>#REF!</v>
      </c>
      <c r="K50" s="363"/>
      <c r="L50" s="363"/>
      <c r="M50" s="364" t="e">
        <f>IF(M56&gt;0,M56*-1,0)</f>
        <v>#REF!</v>
      </c>
    </row>
    <row r="51" spans="1:13" ht="16.5" thickBot="1" x14ac:dyDescent="0.3">
      <c r="A51" s="52" t="str">
        <f>IF(inputPrYr!$B76&gt;"  ",(#REF!),"  ")</f>
        <v xml:space="preserve">  </v>
      </c>
      <c r="B51" s="330" t="e">
        <f>IF(#REF!&gt;0,#REF!,"  ")</f>
        <v>#REF!</v>
      </c>
      <c r="C51" s="331"/>
      <c r="D51" s="330"/>
      <c r="E51" s="331"/>
      <c r="F51" s="330"/>
      <c r="G51" s="331"/>
      <c r="H51" s="331"/>
      <c r="J51" s="318"/>
      <c r="K51" s="318"/>
      <c r="L51" s="318"/>
      <c r="M51" s="318"/>
    </row>
    <row r="52" spans="1:13" ht="16.5" thickBot="1" x14ac:dyDescent="0.3">
      <c r="A52" s="574" t="s">
        <v>351</v>
      </c>
      <c r="B52" s="575" t="e">
        <f>SUM(B15:B51)</f>
        <v>#REF!</v>
      </c>
      <c r="C52" s="576">
        <f>SUM(C15:C27)</f>
        <v>51.578000000000003</v>
      </c>
      <c r="D52" s="575" t="e">
        <f>SUM(D15:D51)</f>
        <v>#REF!</v>
      </c>
      <c r="E52" s="576">
        <f>SUM(E15:E27)</f>
        <v>54.954999999999991</v>
      </c>
      <c r="F52" s="575" t="e">
        <f>SUM(F15:F51)</f>
        <v>#REF!</v>
      </c>
      <c r="G52" s="575" t="e">
        <f>SUM(G15:G51)</f>
        <v>#REF!</v>
      </c>
      <c r="H52" s="576" t="e">
        <f>SUM(H15:H27)</f>
        <v>#REF!</v>
      </c>
      <c r="J52" s="742" t="str">
        <f>CONCATENATE("Impact On Keeping The Same Mill Rate As For ",H2-1,"")</f>
        <v>Impact On Keeping The Same Mill Rate As For 2023</v>
      </c>
      <c r="K52" s="749"/>
      <c r="L52" s="749"/>
      <c r="M52" s="750"/>
    </row>
    <row r="53" spans="1:13" ht="16.5" thickTop="1" x14ac:dyDescent="0.25">
      <c r="A53" s="733" t="s">
        <v>565</v>
      </c>
      <c r="B53" s="734"/>
      <c r="C53" s="734"/>
      <c r="D53" s="734"/>
      <c r="E53" s="734"/>
      <c r="F53" s="734"/>
      <c r="G53" s="735"/>
      <c r="H53" s="573">
        <f>inputOth!D20</f>
        <v>50.973999999999997</v>
      </c>
      <c r="I53" s="327"/>
      <c r="J53" s="319"/>
      <c r="K53" s="313"/>
      <c r="L53" s="313"/>
      <c r="M53" s="320"/>
    </row>
    <row r="54" spans="1:13" x14ac:dyDescent="0.25">
      <c r="A54" s="29" t="s">
        <v>84</v>
      </c>
      <c r="B54" s="295">
        <f>Transfers!D26</f>
        <v>0</v>
      </c>
      <c r="C54" s="356"/>
      <c r="D54" s="295">
        <f>Transfers!E26</f>
        <v>0</v>
      </c>
      <c r="E54" s="240"/>
      <c r="F54" s="295">
        <f>Transfers!F26</f>
        <v>0</v>
      </c>
      <c r="G54" s="354"/>
      <c r="H54" s="240"/>
      <c r="J54" s="319" t="str">
        <f>CONCATENATE("",H2," Ad Valorem Tax Revenue:")</f>
        <v>2024 Ad Valorem Tax Revenue:</v>
      </c>
      <c r="K54" s="313"/>
      <c r="L54" s="313"/>
      <c r="M54" s="314" t="e">
        <f>G52</f>
        <v>#REF!</v>
      </c>
    </row>
    <row r="55" spans="1:13" ht="16.5" thickBot="1" x14ac:dyDescent="0.3">
      <c r="A55" s="29" t="s">
        <v>85</v>
      </c>
      <c r="B55" s="237" t="e">
        <f>B52-B54</f>
        <v>#REF!</v>
      </c>
      <c r="C55" s="28"/>
      <c r="D55" s="237" t="e">
        <f>D52-D54</f>
        <v>#REF!</v>
      </c>
      <c r="E55" s="28"/>
      <c r="F55" s="237" t="e">
        <f>F52-F54</f>
        <v>#REF!</v>
      </c>
      <c r="G55" s="28"/>
      <c r="H55" s="28"/>
      <c r="J55" s="319" t="str">
        <f>CONCATENATE("",H2-1," Ad Valorem Tax Revenue:")</f>
        <v>2023 Ad Valorem Tax Revenue:</v>
      </c>
      <c r="K55" s="313"/>
      <c r="L55" s="313"/>
      <c r="M55" s="326">
        <f>ROUND(F58*M47/1000,0)</f>
        <v>1146142</v>
      </c>
    </row>
    <row r="56" spans="1:13" ht="16.5" thickTop="1" x14ac:dyDescent="0.25">
      <c r="A56" s="29" t="s">
        <v>86</v>
      </c>
      <c r="B56" s="295">
        <f>inputPrYr!$E$100</f>
        <v>898288</v>
      </c>
      <c r="C56" s="47"/>
      <c r="D56" s="295">
        <f>inputPrYr!$E$32</f>
        <v>1063125</v>
      </c>
      <c r="E56" s="47"/>
      <c r="F56" s="228" t="s">
        <v>49</v>
      </c>
      <c r="G56" s="28"/>
      <c r="H56" s="28"/>
      <c r="J56" s="324" t="s">
        <v>342</v>
      </c>
      <c r="K56" s="325"/>
      <c r="L56" s="325"/>
      <c r="M56" s="317" t="e">
        <f>SUM(M54-M55)</f>
        <v>#REF!</v>
      </c>
    </row>
    <row r="57" spans="1:13" x14ac:dyDescent="0.25">
      <c r="A57" s="29" t="s">
        <v>87</v>
      </c>
      <c r="B57" s="114"/>
      <c r="C57" s="28"/>
      <c r="D57" s="296"/>
      <c r="E57" s="115"/>
      <c r="F57" s="95"/>
      <c r="G57" s="28"/>
      <c r="H57" s="28"/>
      <c r="J57" s="318"/>
      <c r="K57" s="318"/>
      <c r="L57" s="318"/>
      <c r="M57" s="318"/>
    </row>
    <row r="58" spans="1:13" x14ac:dyDescent="0.25">
      <c r="A58" s="29" t="s">
        <v>88</v>
      </c>
      <c r="B58" s="295">
        <f>inputPrYr!$E$101</f>
        <v>17416209</v>
      </c>
      <c r="C58" s="28"/>
      <c r="D58" s="295">
        <f>inputOth!$E$39</f>
        <v>19345400</v>
      </c>
      <c r="E58" s="28"/>
      <c r="F58" s="295">
        <f>inputOth!$E$7</f>
        <v>20856018</v>
      </c>
      <c r="G58" s="28"/>
      <c r="H58" s="28"/>
      <c r="J58" s="742" t="s">
        <v>343</v>
      </c>
      <c r="K58" s="747"/>
      <c r="L58" s="747"/>
      <c r="M58" s="748"/>
    </row>
    <row r="59" spans="1:13" x14ac:dyDescent="0.25">
      <c r="A59" s="29" t="s">
        <v>89</v>
      </c>
      <c r="B59" s="28"/>
      <c r="C59" s="28"/>
      <c r="D59" s="28"/>
      <c r="E59" s="28"/>
      <c r="F59" s="28"/>
      <c r="G59" s="28"/>
      <c r="H59" s="28"/>
      <c r="J59" s="319"/>
      <c r="K59" s="313"/>
      <c r="L59" s="313"/>
      <c r="M59" s="320"/>
    </row>
    <row r="60" spans="1:13" ht="13.5" customHeight="1" x14ac:dyDescent="0.25">
      <c r="A60" s="29" t="s">
        <v>90</v>
      </c>
      <c r="B60" s="229">
        <f>$H$2-3</f>
        <v>2021</v>
      </c>
      <c r="C60" s="28"/>
      <c r="D60" s="229">
        <f>$H$2-2</f>
        <v>2022</v>
      </c>
      <c r="E60" s="28"/>
      <c r="F60" s="229">
        <f>$H$2-1</f>
        <v>2023</v>
      </c>
      <c r="G60" s="28"/>
      <c r="H60" s="28"/>
      <c r="J60" s="319" t="str">
        <f>CONCATENATE("Current ",H2," Estimated Mill Rate:")</f>
        <v>Current 2024 Estimated Mill Rate:</v>
      </c>
      <c r="K60" s="313"/>
      <c r="L60" s="313"/>
      <c r="M60" s="321" t="e">
        <f>H52</f>
        <v>#REF!</v>
      </c>
    </row>
    <row r="61" spans="1:13" x14ac:dyDescent="0.25">
      <c r="A61" s="29" t="s">
        <v>91</v>
      </c>
      <c r="B61" s="154">
        <f>inputPrYr!$D$105</f>
        <v>1835000</v>
      </c>
      <c r="C61" s="109"/>
      <c r="D61" s="154">
        <f>inputPrYr!$E$105</f>
        <v>1725000</v>
      </c>
      <c r="E61" s="109"/>
      <c r="F61" s="154">
        <f>Debt!$G$20</f>
        <v>1725000</v>
      </c>
      <c r="G61" s="28"/>
      <c r="H61" s="28"/>
      <c r="J61" s="319" t="str">
        <f>CONCATENATE("Desired ",H2," Mill Rate:")</f>
        <v>Desired 2024 Mill Rate:</v>
      </c>
      <c r="K61" s="313"/>
      <c r="L61" s="313"/>
      <c r="M61" s="311">
        <v>54.954999999999998</v>
      </c>
    </row>
    <row r="62" spans="1:13" ht="18.75" customHeight="1" x14ac:dyDescent="0.25">
      <c r="A62" s="29" t="s">
        <v>92</v>
      </c>
      <c r="B62" s="295">
        <f>inputPrYr!$D$106</f>
        <v>0</v>
      </c>
      <c r="C62" s="109"/>
      <c r="D62" s="295">
        <f>inputPrYr!$E$106</f>
        <v>0</v>
      </c>
      <c r="E62" s="109"/>
      <c r="F62" s="154">
        <f>Debt!$G$32</f>
        <v>0</v>
      </c>
      <c r="G62" s="28"/>
      <c r="H62" s="28"/>
      <c r="J62" s="319" t="str">
        <f>CONCATENATE("",H2," Ad Valorem Tax:")</f>
        <v>2024 Ad Valorem Tax:</v>
      </c>
      <c r="K62" s="313"/>
      <c r="L62" s="313"/>
      <c r="M62" s="326">
        <f>ROUND(F58*M61/1000,0)</f>
        <v>1146142</v>
      </c>
    </row>
    <row r="63" spans="1:13" ht="18.75" customHeight="1" x14ac:dyDescent="0.25">
      <c r="A63" s="28" t="s">
        <v>110</v>
      </c>
      <c r="B63" s="295">
        <f>inputPrYr!$D$107</f>
        <v>543111</v>
      </c>
      <c r="C63" s="109"/>
      <c r="D63" s="295">
        <f>inputPrYr!$E$107</f>
        <v>367631</v>
      </c>
      <c r="E63" s="109"/>
      <c r="F63" s="154">
        <f>Debt!$G$42</f>
        <v>0</v>
      </c>
      <c r="G63" s="28"/>
      <c r="H63" s="28"/>
      <c r="J63" s="324" t="str">
        <f>CONCATENATE("",H2," Tax Levy Fund Exp. Changed By:")</f>
        <v>2024 Tax Levy Fund Exp. Changed By:</v>
      </c>
      <c r="K63" s="325"/>
      <c r="L63" s="325"/>
      <c r="M63" s="317" t="e">
        <f>IF(M61=0,0,(M62-G52))</f>
        <v>#REF!</v>
      </c>
    </row>
    <row r="64" spans="1:13" ht="18.75" customHeight="1" x14ac:dyDescent="0.2">
      <c r="A64" s="29" t="s">
        <v>144</v>
      </c>
      <c r="B64" s="295">
        <f>inputPrYr!$D$108</f>
        <v>126983</v>
      </c>
      <c r="C64" s="109"/>
      <c r="D64" s="295">
        <f>inputPrYr!$E$108</f>
        <v>53957</v>
      </c>
      <c r="E64" s="109"/>
      <c r="F64" s="154">
        <f>'LP Form'!$G$28</f>
        <v>553957</v>
      </c>
      <c r="G64" s="28"/>
      <c r="H64" s="28"/>
    </row>
    <row r="65" spans="1:13" ht="18.75" customHeight="1" thickBot="1" x14ac:dyDescent="0.25">
      <c r="A65" s="29" t="s">
        <v>93</v>
      </c>
      <c r="B65" s="357">
        <f>SUM(B61:B64)</f>
        <v>2505094</v>
      </c>
      <c r="C65" s="109"/>
      <c r="D65" s="357">
        <f>SUM(D61:D64)</f>
        <v>2146588</v>
      </c>
      <c r="E65" s="109"/>
      <c r="F65" s="357">
        <f>SUM(F61:F64)</f>
        <v>2278957</v>
      </c>
      <c r="G65" s="28"/>
      <c r="H65" s="28"/>
      <c r="J65" s="736" t="s">
        <v>726</v>
      </c>
      <c r="K65" s="737"/>
      <c r="L65" s="737"/>
      <c r="M65" s="727" t="e">
        <f>IF(H52&gt;H53, "Yes", "No")</f>
        <v>#REF!</v>
      </c>
    </row>
    <row r="66" spans="1:13" ht="16.5" thickTop="1" x14ac:dyDescent="0.2">
      <c r="A66" s="29" t="s">
        <v>94</v>
      </c>
      <c r="B66" s="28"/>
      <c r="C66" s="28"/>
      <c r="D66" s="28"/>
      <c r="E66" s="28"/>
      <c r="F66" s="28"/>
      <c r="G66" s="28"/>
      <c r="H66" s="28"/>
      <c r="J66" s="738"/>
      <c r="K66" s="739"/>
      <c r="L66" s="739"/>
      <c r="M66" s="728"/>
    </row>
    <row r="67" spans="1:13" x14ac:dyDescent="0.2">
      <c r="A67" s="544" t="s">
        <v>718</v>
      </c>
      <c r="B67" s="28"/>
      <c r="C67" s="28"/>
      <c r="D67" s="28"/>
      <c r="E67" s="28"/>
      <c r="F67" s="28"/>
      <c r="G67" s="28"/>
      <c r="H67" s="28"/>
      <c r="J67" s="714" t="e">
        <f>IF(M65="Yes", "Follow procedure prescirbed by KSA 79-2988 to exceed the Revenue Neutral Rate.", " ")</f>
        <v>#REF!</v>
      </c>
      <c r="K67" s="714"/>
      <c r="L67" s="714"/>
      <c r="M67" s="714"/>
    </row>
    <row r="68" spans="1:13" x14ac:dyDescent="0.2">
      <c r="A68" s="28"/>
      <c r="B68" s="28"/>
      <c r="C68" s="28"/>
      <c r="D68" s="28"/>
      <c r="E68" s="28"/>
      <c r="F68" s="28"/>
      <c r="G68" s="28"/>
      <c r="H68" s="28"/>
      <c r="J68" s="715"/>
      <c r="K68" s="715"/>
      <c r="L68" s="715"/>
      <c r="M68" s="715"/>
    </row>
    <row r="69" spans="1:13" x14ac:dyDescent="0.2">
      <c r="A69" s="746">
        <f>inputHearing!B14</f>
        <v>0</v>
      </c>
      <c r="B69" s="746"/>
      <c r="C69" s="28"/>
      <c r="D69" s="28"/>
      <c r="E69" s="28"/>
      <c r="F69" s="28"/>
      <c r="G69" s="28"/>
      <c r="H69" s="28"/>
      <c r="J69" s="715"/>
      <c r="K69" s="715"/>
      <c r="L69" s="715"/>
      <c r="M69" s="715"/>
    </row>
    <row r="70" spans="1:13" x14ac:dyDescent="0.2">
      <c r="A70" s="107" t="s">
        <v>170</v>
      </c>
      <c r="B70" s="369">
        <f>inputHearing!B16</f>
        <v>0</v>
      </c>
      <c r="C70" s="28"/>
      <c r="D70" s="28"/>
      <c r="E70" s="28"/>
      <c r="F70" s="28"/>
      <c r="G70" s="28"/>
      <c r="H70" s="28"/>
    </row>
    <row r="71" spans="1:13" x14ac:dyDescent="0.2">
      <c r="A71" s="28"/>
      <c r="B71" s="28"/>
      <c r="C71" s="28"/>
      <c r="D71" s="28"/>
      <c r="E71" s="28"/>
      <c r="F71" s="28"/>
      <c r="G71" s="28"/>
      <c r="H71" s="28"/>
    </row>
    <row r="72" spans="1:13" x14ac:dyDescent="0.2">
      <c r="A72" s="28"/>
      <c r="B72" s="28"/>
      <c r="C72" s="80" t="s">
        <v>70</v>
      </c>
      <c r="D72" s="464"/>
      <c r="E72" s="28"/>
      <c r="F72" s="28"/>
      <c r="G72" s="28"/>
      <c r="H72" s="28"/>
    </row>
  </sheetData>
  <sheetProtection sheet="1" objects="1" scenarios="1"/>
  <mergeCells count="22">
    <mergeCell ref="J67:M69"/>
    <mergeCell ref="A1:H1"/>
    <mergeCell ref="A4:H4"/>
    <mergeCell ref="A6:H6"/>
    <mergeCell ref="A7:H7"/>
    <mergeCell ref="A3:H3"/>
    <mergeCell ref="J41:M41"/>
    <mergeCell ref="A5:H5"/>
    <mergeCell ref="A69:B69"/>
    <mergeCell ref="J58:M58"/>
    <mergeCell ref="J52:M52"/>
    <mergeCell ref="J45:M45"/>
    <mergeCell ref="B13:B14"/>
    <mergeCell ref="C13:C14"/>
    <mergeCell ref="D13:D14"/>
    <mergeCell ref="E13:E14"/>
    <mergeCell ref="M65:M66"/>
    <mergeCell ref="F13:F14"/>
    <mergeCell ref="G13:G14"/>
    <mergeCell ref="H13:H14"/>
    <mergeCell ref="A53:G53"/>
    <mergeCell ref="J65:L66"/>
  </mergeCells>
  <phoneticPr fontId="0" type="noConversion"/>
  <conditionalFormatting sqref="M65:M66">
    <cfRule type="containsText" dxfId="1" priority="1" operator="containsText" text="Yes">
      <formula>NOT(ISERROR(SEARCH("Yes",M65)))</formula>
    </cfRule>
  </conditionalFormatting>
  <pageMargins left="1" right="0.5" top="1" bottom="0.5" header="0.5" footer="0.5"/>
  <pageSetup scale="59" orientation="portrait" blackAndWhite="1" r:id="rId1"/>
  <headerFooter alignWithMargins="0">
    <oddHeader>&amp;RState of Kansas
City</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72"/>
  <sheetViews>
    <sheetView topLeftCell="A17" zoomScale="90" zoomScaleNormal="90" workbookViewId="0">
      <selection activeCell="I1" sqref="I1"/>
    </sheetView>
  </sheetViews>
  <sheetFormatPr defaultColWidth="8.88671875" defaultRowHeight="15.75" x14ac:dyDescent="0.2"/>
  <cols>
    <col min="1" max="1" width="20.77734375" style="24" customWidth="1"/>
    <col min="2" max="2" width="15.77734375" style="24" customWidth="1"/>
    <col min="3" max="3" width="8.77734375" style="24" customWidth="1"/>
    <col min="4" max="4" width="15.77734375" style="24" customWidth="1"/>
    <col min="5" max="5" width="9.109375" style="24" customWidth="1"/>
    <col min="6" max="6" width="14.6640625" style="24" customWidth="1"/>
    <col min="7" max="7" width="12.77734375" style="24" customWidth="1"/>
    <col min="8" max="8" width="10.109375" style="24" customWidth="1"/>
    <col min="9" max="9" width="8.88671875" style="24"/>
    <col min="10" max="10" width="12.44140625" style="24" customWidth="1"/>
    <col min="11" max="11" width="12.33203125" style="24" customWidth="1"/>
    <col min="12" max="12" width="10.5546875" style="24" customWidth="1"/>
    <col min="13" max="13" width="12.109375" style="24" customWidth="1"/>
    <col min="14" max="16384" width="8.88671875" style="24"/>
  </cols>
  <sheetData>
    <row r="1" spans="1:9" x14ac:dyDescent="0.2">
      <c r="A1" s="740" t="s">
        <v>734</v>
      </c>
      <c r="B1" s="740"/>
      <c r="C1" s="740"/>
      <c r="D1" s="740"/>
      <c r="E1" s="740"/>
      <c r="F1" s="740"/>
      <c r="G1" s="740"/>
      <c r="H1" s="740"/>
      <c r="I1" s="225"/>
    </row>
    <row r="2" spans="1:9" ht="18" customHeight="1" x14ac:dyDescent="0.2">
      <c r="A2" s="28"/>
      <c r="B2" s="28"/>
      <c r="C2" s="28"/>
      <c r="D2" s="28"/>
      <c r="E2" s="28"/>
      <c r="F2" s="28"/>
      <c r="G2" s="28"/>
      <c r="H2" s="28">
        <f>inputPrYr!$C$6</f>
        <v>2024</v>
      </c>
    </row>
    <row r="3" spans="1:9" ht="18" customHeight="1" x14ac:dyDescent="0.2">
      <c r="A3" s="664" t="s">
        <v>80</v>
      </c>
      <c r="B3" s="664"/>
      <c r="C3" s="664"/>
      <c r="D3" s="664"/>
      <c r="E3" s="664"/>
      <c r="F3" s="664"/>
      <c r="G3" s="664"/>
      <c r="H3" s="664"/>
    </row>
    <row r="4" spans="1:9" x14ac:dyDescent="0.2">
      <c r="A4" s="635" t="str">
        <f>inputPrYr!D3</f>
        <v>Wellsville</v>
      </c>
      <c r="B4" s="635"/>
      <c r="C4" s="635"/>
      <c r="D4" s="635"/>
      <c r="E4" s="635"/>
      <c r="F4" s="635"/>
      <c r="G4" s="635"/>
      <c r="H4" s="635"/>
    </row>
    <row r="5" spans="1:9" ht="18" customHeight="1" x14ac:dyDescent="0.25">
      <c r="A5" s="745" t="str">
        <f>CONCATENATE("will meet on ",inputHearing!B32," at ",inputHearing!B34," at ",inputHearing!B36," for the purpose of hearing and")</f>
        <v>will meet on August 30, 2023 at 6.pm at City Hall for the purpose of hearing and</v>
      </c>
      <c r="B5" s="745"/>
      <c r="C5" s="745"/>
      <c r="D5" s="745"/>
      <c r="E5" s="745"/>
      <c r="F5" s="745"/>
      <c r="G5" s="745"/>
      <c r="H5" s="745"/>
    </row>
    <row r="6" spans="1:9" ht="16.5" customHeight="1" x14ac:dyDescent="0.2">
      <c r="A6" s="664" t="s">
        <v>307</v>
      </c>
      <c r="B6" s="664"/>
      <c r="C6" s="664"/>
      <c r="D6" s="664"/>
      <c r="E6" s="664"/>
      <c r="F6" s="664"/>
      <c r="G6" s="664"/>
      <c r="H6" s="664"/>
    </row>
    <row r="7" spans="1:9" ht="16.5" customHeight="1" x14ac:dyDescent="0.2">
      <c r="A7" s="741" t="str">
        <f>CONCATENATE("Detailed budget information is available at ",inputHearing!B38," and will be available at this hearing.")</f>
        <v>Detailed budget information is available at City Hall and will be available at this hearing.</v>
      </c>
      <c r="B7" s="741"/>
      <c r="C7" s="741"/>
      <c r="D7" s="741"/>
      <c r="E7" s="741"/>
      <c r="F7" s="741"/>
      <c r="G7" s="741"/>
      <c r="H7" s="741"/>
    </row>
    <row r="8" spans="1:9" x14ac:dyDescent="0.2">
      <c r="A8" s="32" t="s">
        <v>121</v>
      </c>
      <c r="B8" s="33"/>
      <c r="C8" s="33"/>
      <c r="D8" s="33"/>
      <c r="E8" s="33"/>
      <c r="F8" s="33"/>
      <c r="G8" s="33"/>
      <c r="H8" s="33"/>
    </row>
    <row r="9" spans="1:9" x14ac:dyDescent="0.2">
      <c r="A9" s="81" t="str">
        <f>CONCATENATE("Proposed Budget ",H2," Expenditures and Amount of ",H2-1," Ad Valorem Tax establish the maximum limits of the ",H2," budget.")</f>
        <v>Proposed Budget 2024 Expenditures and Amount of 2023 Ad Valorem Tax establish the maximum limits of the 2024 budget.</v>
      </c>
      <c r="B9" s="33"/>
      <c r="C9" s="33"/>
      <c r="D9" s="33"/>
      <c r="E9" s="33"/>
      <c r="F9" s="33"/>
      <c r="G9" s="33"/>
      <c r="H9" s="33"/>
    </row>
    <row r="10" spans="1:9" x14ac:dyDescent="0.2">
      <c r="A10" s="81" t="s">
        <v>143</v>
      </c>
      <c r="B10" s="33"/>
      <c r="C10" s="33"/>
      <c r="D10" s="33"/>
      <c r="E10" s="33"/>
      <c r="F10" s="33"/>
      <c r="G10" s="33"/>
      <c r="H10" s="33"/>
    </row>
    <row r="11" spans="1:9" x14ac:dyDescent="0.2">
      <c r="A11" s="28"/>
      <c r="B11" s="195"/>
      <c r="C11" s="195"/>
      <c r="D11" s="195"/>
      <c r="E11" s="195"/>
      <c r="F11" s="195"/>
      <c r="G11" s="195"/>
      <c r="H11" s="195"/>
    </row>
    <row r="12" spans="1:9" x14ac:dyDescent="0.2">
      <c r="A12" s="28"/>
      <c r="B12" s="226" t="str">
        <f>CONCATENATE("Prior Year Actual for ",H2-2,"")</f>
        <v>Prior Year Actual for 2022</v>
      </c>
      <c r="C12" s="84"/>
      <c r="D12" s="226" t="str">
        <f>CONCATENATE("Current Year Estimate for ",H2-1,"")</f>
        <v>Current Year Estimate for 2023</v>
      </c>
      <c r="E12" s="84"/>
      <c r="F12" s="82" t="str">
        <f>CONCATENATE("Proposed Budget Year for ",H2,"")</f>
        <v>Proposed Budget Year for 2024</v>
      </c>
      <c r="G12" s="83"/>
      <c r="H12" s="84"/>
    </row>
    <row r="13" spans="1:9" ht="29.25" customHeight="1" x14ac:dyDescent="0.2">
      <c r="A13" s="28"/>
      <c r="B13" s="751" t="s">
        <v>83</v>
      </c>
      <c r="C13" s="731" t="s">
        <v>720</v>
      </c>
      <c r="D13" s="751" t="s">
        <v>83</v>
      </c>
      <c r="E13" s="731" t="s">
        <v>720</v>
      </c>
      <c r="F13" s="729" t="s">
        <v>719</v>
      </c>
      <c r="G13" s="731" t="str">
        <f>CONCATENATE("Amount of ",H2-1," Ad Valorem Tax")</f>
        <v>Amount of 2023 Ad Valorem Tax</v>
      </c>
      <c r="H13" s="731" t="s">
        <v>721</v>
      </c>
    </row>
    <row r="14" spans="1:9" ht="16.5" customHeight="1" x14ac:dyDescent="0.2">
      <c r="A14" s="52" t="s">
        <v>82</v>
      </c>
      <c r="B14" s="752"/>
      <c r="C14" s="732"/>
      <c r="D14" s="752"/>
      <c r="E14" s="732"/>
      <c r="F14" s="730"/>
      <c r="G14" s="732"/>
      <c r="H14" s="732"/>
    </row>
    <row r="15" spans="1:9" x14ac:dyDescent="0.2">
      <c r="A15" s="52" t="str">
        <f>inputPrYr!B18</f>
        <v>General</v>
      </c>
      <c r="B15" s="52">
        <f>IF(General!$C$108&lt;&gt;0,General!$C$108,"  ")</f>
        <v>1209546</v>
      </c>
      <c r="C15" s="227">
        <f>IF(inputPrYr!D85&gt;0,inputPrYr!D85,"  ")</f>
        <v>38.634999999999998</v>
      </c>
      <c r="D15" s="52">
        <f>IF(General!$D$108&lt;&gt;0,General!$D$108,"  ")</f>
        <v>1366017</v>
      </c>
      <c r="E15" s="227">
        <f>IF(inputOth!D24&gt;0,inputOth!D24,"  ")</f>
        <v>39.895000000000003</v>
      </c>
      <c r="F15" s="52">
        <f>IF(General!$E$108&lt;&gt;0,General!$E$108,"  ")</f>
        <v>1537582</v>
      </c>
      <c r="G15" s="52">
        <f>IF(General!$E$115&lt;&gt;0,General!$E$115,"  ")</f>
        <v>936812</v>
      </c>
      <c r="H15" s="227">
        <f>IF(General!E115&gt;0,ROUND(G15/$F$58*1000,3),"")</f>
        <v>44.917999999999999</v>
      </c>
    </row>
    <row r="16" spans="1:9" x14ac:dyDescent="0.2">
      <c r="A16" s="52" t="str">
        <f>inputPrYr!B19</f>
        <v>Debt Service</v>
      </c>
      <c r="B16" s="52">
        <f>IF('DebtSvs-Library'!C33&lt;&gt;0,'DebtSvs-Library'!C33,"  ")</f>
        <v>42600</v>
      </c>
      <c r="C16" s="227">
        <f>IF(inputPrYr!D86&gt;0,inputPrYr!D86,"  ")</f>
        <v>0.26700000000000002</v>
      </c>
      <c r="D16" s="52">
        <f>IF('DebtSvs-Library'!D33&lt;&gt;0,'DebtSvs-Library'!D33,"  ")</f>
        <v>45000</v>
      </c>
      <c r="E16" s="227">
        <f>IF(inputOth!D25&gt;0,inputOth!D25,"  ")</f>
        <v>2.327</v>
      </c>
      <c r="F16" s="52">
        <f>IF('DebtSvs-Library'!E33&lt;&gt;0,'DebtSvs-Library'!E33,"  ")</f>
        <v>49000</v>
      </c>
      <c r="G16" s="52">
        <f>IF('DebtSvs-Library'!E40&lt;&gt;0,'DebtSvs-Library'!E40,"  ")</f>
        <v>45070</v>
      </c>
      <c r="H16" s="227">
        <f>IF('DebtSvs-Library'!E40&gt;0,ROUND(G16/$F$58*1000,3),"  ")</f>
        <v>2.161</v>
      </c>
    </row>
    <row r="17" spans="1:8" x14ac:dyDescent="0.2">
      <c r="A17" s="52" t="str">
        <f>IF(inputPrYr!$B20&gt;"  ",(inputPrYr!$B20),"  ")</f>
        <v>Library</v>
      </c>
      <c r="B17" s="52">
        <f>IF('DebtSvs-Library'!C73&lt;&gt;0,'DebtSvs-Library'!C73,"  ")</f>
        <v>91508</v>
      </c>
      <c r="C17" s="227">
        <f>IF(inputPrYr!D87&gt;0,inputPrYr!D87,"  ")</f>
        <v>4.7169999999999996</v>
      </c>
      <c r="D17" s="52">
        <f>IF('DebtSvs-Library'!D73&lt;&gt;0,'DebtSvs-Library'!D73,"  ")</f>
        <v>99787</v>
      </c>
      <c r="E17" s="227">
        <f>IF(inputOth!D26&gt;0,inputOth!D26,"  ")</f>
        <v>4.7750000000000004</v>
      </c>
      <c r="F17" s="52">
        <f>IF('DebtSvs-Library'!E73&lt;&gt;0,'DebtSvs-Library'!E73,"  ")</f>
        <v>106682</v>
      </c>
      <c r="G17" s="52">
        <f>IF('DebtSvs-Library'!E80&lt;&gt;0,'DebtSvs-Library'!E80,"  ")</f>
        <v>95503</v>
      </c>
      <c r="H17" s="227">
        <f>IF('DebtSvs-Library'!E80&lt;&gt;0,ROUND(G17/$F$58*1000,3),"  ")</f>
        <v>4.5789999999999997</v>
      </c>
    </row>
    <row r="18" spans="1:8" x14ac:dyDescent="0.2">
      <c r="A18" s="52" t="str">
        <f>IF(inputPrYr!$B22&gt;"  ",(inputPrYr!$B22),"  ")</f>
        <v>Employee Benefits</v>
      </c>
      <c r="B18" s="52">
        <f>IF('Employ Benys'!$C$32&gt;0,'Employ Benys'!$C$32,"  ")</f>
        <v>103324</v>
      </c>
      <c r="C18" s="227">
        <f>IF(inputPrYr!D88&gt;0,inputPrYr!D88,"  ")</f>
        <v>5.9939999999999998</v>
      </c>
      <c r="D18" s="52">
        <f>IF('Employ Benys'!$D$32&gt;0,'Employ Benys'!$D$32,"  ")</f>
        <v>125000</v>
      </c>
      <c r="E18" s="227">
        <f>IF(inputOth!D27&gt;0,inputOth!D27,"  ")</f>
        <v>5.8029999999999999</v>
      </c>
      <c r="F18" s="52">
        <f>IF('Employ Benys'!$E$32&gt;0,'Employ Benys'!$E$32,"  ")</f>
        <v>140000</v>
      </c>
      <c r="G18" s="52">
        <f>IF('Employ Benys'!$E$39&lt;&gt;0,'Employ Benys'!$E$39,"  ")</f>
        <v>107998</v>
      </c>
      <c r="H18" s="227">
        <f>IF('Employ Benys'!E39&lt;&gt;0,ROUND(G18/$F$58*1000,3),"  ")</f>
        <v>5.1779999999999999</v>
      </c>
    </row>
    <row r="19" spans="1:8" x14ac:dyDescent="0.2">
      <c r="A19" s="52" t="str">
        <f>IF(inputPrYr!$B23&gt;"  ",(inputPrYr!$B23),"  ")</f>
        <v>Library Employee Benefits</v>
      </c>
      <c r="B19" s="52">
        <f>IF('Employ Benys'!$C$72&gt;0,'Employ Benys'!$C$72,"  ")</f>
        <v>7860</v>
      </c>
      <c r="C19" s="227">
        <f>IF(inputPrYr!D89&gt;0,inputPrYr!D89,"  ")</f>
        <v>0.46</v>
      </c>
      <c r="D19" s="52">
        <f>IF('Employ Benys'!$D$72&gt;0,'Employ Benys'!$D$72,"  ")</f>
        <v>8600</v>
      </c>
      <c r="E19" s="227">
        <f>IF(inputOth!D28&gt;0,inputOth!D28,"  ")</f>
        <v>0.40699999999999997</v>
      </c>
      <c r="F19" s="52">
        <f>IF('Employ Benys'!$E$72&gt;0,'Employ Benys'!$E$72,"  ")</f>
        <v>8600</v>
      </c>
      <c r="G19" s="52">
        <f>IF('Employ Benys'!$E$79&lt;&gt;0,'Employ Benys'!$E$79,"  ")</f>
        <v>7895</v>
      </c>
      <c r="H19" s="227">
        <f>IF('Employ Benys'!E79&lt;&gt;0,ROUND(G19/$F$58*1000,3),"  ")</f>
        <v>0.379</v>
      </c>
    </row>
    <row r="20" spans="1:8" x14ac:dyDescent="0.2">
      <c r="A20" s="52" t="str">
        <f>IF(inputPrYr!$B24&gt;"  ",(inputPrYr!$B24),"  ")</f>
        <v>Special Tort Claim</v>
      </c>
      <c r="B20" s="52">
        <f>IF(tort!$C$33&gt;0,tort!$C$33,"  ")</f>
        <v>33920</v>
      </c>
      <c r="C20" s="227">
        <f>IF(inputPrYr!D90&gt;0,inputPrYr!D90,"  ")</f>
        <v>1.5049999999999999</v>
      </c>
      <c r="D20" s="52">
        <f>IF(tort!$D$33&gt;0,tort!$D$33,"  ")</f>
        <v>40000</v>
      </c>
      <c r="E20" s="227">
        <f>IF(inputOth!D29&gt;0,inputOth!D29,"  ")</f>
        <v>1.748</v>
      </c>
      <c r="F20" s="52">
        <f>IF(tort!$E$33&gt;0,tort!$E$33,"  ")</f>
        <v>42000</v>
      </c>
      <c r="G20" s="52">
        <f>IF(tort!$E$40&lt;&gt;0,tort!$E$40,"  ")</f>
        <v>36032</v>
      </c>
      <c r="H20" s="227">
        <f>IF(tort!E40&lt;&gt;0,ROUND(G20/$F$58*1000,3),"  ")</f>
        <v>1.728</v>
      </c>
    </row>
    <row r="21" spans="1:8" x14ac:dyDescent="0.2">
      <c r="A21" s="52" t="str">
        <f>IF(inputPrYr!$B25&gt;"  ",(inputPrYr!$B25),"  ")</f>
        <v xml:space="preserve">  </v>
      </c>
      <c r="B21" s="52" t="str">
        <f>IF(tort!$C$72&gt;0,tort!$C$72,"  ")</f>
        <v xml:space="preserve">  </v>
      </c>
      <c r="C21" s="227" t="str">
        <f>IF(inputPrYr!D91&gt;0,inputPrYr!D91,"  ")</f>
        <v xml:space="preserve">  </v>
      </c>
      <c r="D21" s="52" t="str">
        <f>IF(tort!$D$72&gt;0,tort!$D$72,"  ")</f>
        <v xml:space="preserve">  </v>
      </c>
      <c r="E21" s="227" t="str">
        <f>IF(inputOth!D30&gt;0,inputOth!D30,"  ")</f>
        <v xml:space="preserve">  </v>
      </c>
      <c r="F21" s="52" t="str">
        <f>IF(tort!$E$72&gt;0,tort!$E$72,"  ")</f>
        <v xml:space="preserve">  </v>
      </c>
      <c r="G21" s="52" t="str">
        <f>IF(tort!$E$79&lt;&gt;0,tort!$E$79,"  ")</f>
        <v xml:space="preserve">  </v>
      </c>
      <c r="H21" s="227" t="str">
        <f>IF(tort!E79&lt;&gt;0,ROUND(G21/$F$58*1000,3),"  ")</f>
        <v xml:space="preserve">  </v>
      </c>
    </row>
    <row r="22" spans="1:8" x14ac:dyDescent="0.2">
      <c r="A22" s="52" t="str">
        <f>IF(inputPrYr!$B26&gt;"  ",(inputPrYr!$B26),"  ")</f>
        <v xml:space="preserve">  </v>
      </c>
      <c r="B22" s="52" t="e">
        <f>IF(#REF!&gt;0,#REF!,"  ")</f>
        <v>#REF!</v>
      </c>
      <c r="C22" s="227" t="str">
        <f>IF(inputPrYr!D92&gt;0,inputPrYr!D92,"  ")</f>
        <v xml:space="preserve">  </v>
      </c>
      <c r="D22" s="52" t="e">
        <f>IF(#REF!&gt;0,#REF!,"  ")</f>
        <v>#REF!</v>
      </c>
      <c r="E22" s="227" t="str">
        <f>IF(inputOth!D31&gt;0,inputOth!D31,"  ")</f>
        <v xml:space="preserve">  </v>
      </c>
      <c r="F22" s="52" t="e">
        <f>IF(#REF!&gt;0,#REF!,"  ")</f>
        <v>#REF!</v>
      </c>
      <c r="G22" s="52" t="e">
        <f>IF(#REF!&lt;&gt;0,#REF!,"  ")</f>
        <v>#REF!</v>
      </c>
      <c r="H22" s="227" t="e">
        <f>IF(#REF!&lt;&gt;0,ROUND(G22/$F$58*1000,3),"  ")</f>
        <v>#REF!</v>
      </c>
    </row>
    <row r="23" spans="1:8" x14ac:dyDescent="0.2">
      <c r="A23" s="52" t="str">
        <f>IF(inputPrYr!$B27&gt;"  ",(inputPrYr!$B27),"  ")</f>
        <v xml:space="preserve">  </v>
      </c>
      <c r="B23" s="52" t="e">
        <f>IF(#REF!&gt;0,#REF!,"  ")</f>
        <v>#REF!</v>
      </c>
      <c r="C23" s="227" t="str">
        <f>IF(inputPrYr!D93&gt;0,inputPrYr!D93,"  ")</f>
        <v xml:space="preserve">  </v>
      </c>
      <c r="D23" s="52" t="e">
        <f>IF(#REF!&gt;0,#REF!,"  ")</f>
        <v>#REF!</v>
      </c>
      <c r="E23" s="227" t="str">
        <f>IF(inputOth!D32&gt;0,inputOth!D32,"  ")</f>
        <v xml:space="preserve">  </v>
      </c>
      <c r="F23" s="52" t="e">
        <f>IF(#REF!&gt;0,#REF!,"  ")</f>
        <v>#REF!</v>
      </c>
      <c r="G23" s="52" t="e">
        <f>IF(#REF!&lt;&gt;0,#REF!,"  ")</f>
        <v>#REF!</v>
      </c>
      <c r="H23" s="227" t="e">
        <f>IF(#REF!&lt;&gt;0,ROUND(G23/$F$58*1000,3),"  ")</f>
        <v>#REF!</v>
      </c>
    </row>
    <row r="24" spans="1:8" x14ac:dyDescent="0.2">
      <c r="A24" s="52" t="str">
        <f>IF(inputPrYr!$B28&gt;"  ",(inputPrYr!$B28),"  ")</f>
        <v xml:space="preserve">  </v>
      </c>
      <c r="B24" s="52" t="e">
        <f>IF(#REF!&gt;0,#REF!,"  ")</f>
        <v>#REF!</v>
      </c>
      <c r="C24" s="227" t="str">
        <f>IF(inputPrYr!D94&gt;0,inputPrYr!D94,"  ")</f>
        <v xml:space="preserve">  </v>
      </c>
      <c r="D24" s="52" t="e">
        <f>IF(#REF!&gt;0,#REF!,"  ")</f>
        <v>#REF!</v>
      </c>
      <c r="E24" s="227" t="str">
        <f>IF(inputOth!D33&gt;0,inputOth!D33,"  ")</f>
        <v xml:space="preserve">  </v>
      </c>
      <c r="F24" s="52" t="e">
        <f>IF(#REF!&gt;0,#REF!,"  ")</f>
        <v>#REF!</v>
      </c>
      <c r="G24" s="52" t="e">
        <f>IF(#REF!&lt;&gt;0,#REF!,"  ")</f>
        <v>#REF!</v>
      </c>
      <c r="H24" s="227" t="e">
        <f>IF(#REF!&lt;&gt;0,ROUND(G24/$F$58*1000,3),"  ")</f>
        <v>#REF!</v>
      </c>
    </row>
    <row r="25" spans="1:8" x14ac:dyDescent="0.2">
      <c r="A25" s="52" t="str">
        <f>IF(inputPrYr!$B29&gt;"  ",(inputPrYr!$B29),"  ")</f>
        <v xml:space="preserve">  </v>
      </c>
      <c r="B25" s="52" t="e">
        <f>IF(#REF!&gt;0,#REF!,"  ")</f>
        <v>#REF!</v>
      </c>
      <c r="C25" s="227" t="str">
        <f>IF(inputPrYr!D95&gt;0,inputPrYr!D95,"  ")</f>
        <v xml:space="preserve">  </v>
      </c>
      <c r="D25" s="52" t="e">
        <f>IF(#REF!&gt;0,#REF!,"  ")</f>
        <v>#REF!</v>
      </c>
      <c r="E25" s="227" t="str">
        <f>IF(inputOth!D34&gt;0,inputOth!D34,"  ")</f>
        <v xml:space="preserve">  </v>
      </c>
      <c r="F25" s="52" t="e">
        <f>IF(#REF!&gt;0,#REF!,"  ")</f>
        <v>#REF!</v>
      </c>
      <c r="G25" s="52" t="e">
        <f>IF(#REF!&lt;&gt;0,#REF!,"  ")</f>
        <v>#REF!</v>
      </c>
      <c r="H25" s="227" t="e">
        <f>IF(#REF!&lt;&gt;0,ROUND(G25/$F$58*1000,3),"  ")</f>
        <v>#REF!</v>
      </c>
    </row>
    <row r="26" spans="1:8" x14ac:dyDescent="0.2">
      <c r="A26" s="52" t="str">
        <f>IF(inputPrYr!$B30&gt;"  ",(inputPrYr!$B30),"  ")</f>
        <v xml:space="preserve">  </v>
      </c>
      <c r="B26" s="52" t="e">
        <f>IF(#REF!&gt;0,#REF!,"  ")</f>
        <v>#REF!</v>
      </c>
      <c r="C26" s="227" t="str">
        <f>IF(inputPrYr!D96&gt;0,inputPrYr!D96,"  ")</f>
        <v xml:space="preserve">  </v>
      </c>
      <c r="D26" s="52" t="e">
        <f>IF(#REF!&gt;0,#REF!,"  ")</f>
        <v>#REF!</v>
      </c>
      <c r="E26" s="227" t="str">
        <f>IF(inputOth!D35&gt;0,inputOth!D35,"  ")</f>
        <v xml:space="preserve">  </v>
      </c>
      <c r="F26" s="52" t="e">
        <f>IF(#REF!&gt;0,#REF!,"  ")</f>
        <v>#REF!</v>
      </c>
      <c r="G26" s="52" t="e">
        <f>IF(#REF!&lt;&gt;0,#REF!,"  ")</f>
        <v>#REF!</v>
      </c>
      <c r="H26" s="227" t="e">
        <f>IF(#REF!&lt;&gt;0,ROUND(G26/$F$58*1000,3),"  ")</f>
        <v>#REF!</v>
      </c>
    </row>
    <row r="27" spans="1:8" x14ac:dyDescent="0.2">
      <c r="A27" s="52" t="str">
        <f>IF(inputPrYr!B31&gt;"  ",(inputPrYr!B31),"  ")</f>
        <v xml:space="preserve">  </v>
      </c>
      <c r="B27" s="52" t="e">
        <f>IF(#REF!&gt;0,#REF!,"  ")</f>
        <v>#REF!</v>
      </c>
      <c r="C27" s="227" t="str">
        <f>IF(inputPrYr!D97&gt;0,inputPrYr!D97,"  ")</f>
        <v xml:space="preserve">  </v>
      </c>
      <c r="D27" s="52" t="e">
        <f>IF(#REF!&gt;0,#REF!,"  ")</f>
        <v>#REF!</v>
      </c>
      <c r="E27" s="227" t="str">
        <f>IF(inputOth!D36&gt;0,inputOth!D36,"  ")</f>
        <v xml:space="preserve">  </v>
      </c>
      <c r="F27" s="52" t="e">
        <f>IF(#REF!&gt;0,#REF!,"  ")</f>
        <v>#REF!</v>
      </c>
      <c r="G27" s="52" t="e">
        <f>IF(#REF!&lt;&gt;0,#REF!,"  ")</f>
        <v>#REF!</v>
      </c>
      <c r="H27" s="227" t="e">
        <f>IF(#REF!&lt;&gt;0,ROUND(G27/$F$58*1000,3),"  ")</f>
        <v>#REF!</v>
      </c>
    </row>
    <row r="28" spans="1:8" x14ac:dyDescent="0.2">
      <c r="A28" s="52" t="str">
        <f>IF(inputPrYr!$B35&gt;"  ",(inputPrYr!$B35),"  ")</f>
        <v>Special Highway</v>
      </c>
      <c r="B28" s="52" t="str">
        <f>IF('Spec Hwy'!$C$26&gt;0,'Spec Hwy'!$C$26,"  ")</f>
        <v xml:space="preserve">  </v>
      </c>
      <c r="C28" s="38"/>
      <c r="D28" s="52" t="str">
        <f>IF('Spec Hwy'!$D$26&gt;0,'Spec Hwy'!$D$26,"  ")</f>
        <v xml:space="preserve">  </v>
      </c>
      <c r="E28" s="38"/>
      <c r="F28" s="52" t="str">
        <f>IF('Spec Hwy'!$E$26&gt;0,'Spec Hwy'!$E$26,"  ")</f>
        <v xml:space="preserve">  </v>
      </c>
      <c r="G28" s="52"/>
      <c r="H28" s="227"/>
    </row>
    <row r="29" spans="1:8" x14ac:dyDescent="0.2">
      <c r="A29" s="52" t="str">
        <f>IF(inputPrYr!$B36&gt;"  ",(inputPrYr!$B36),"  ")</f>
        <v>Building Capital Improvement</v>
      </c>
      <c r="B29" s="52" t="str">
        <f>IF('Spec Hwy'!$C$57&gt;0,'Spec Hwy'!$C$57,"  ")</f>
        <v xml:space="preserve">  </v>
      </c>
      <c r="C29" s="38"/>
      <c r="D29" s="52" t="str">
        <f>IF('Spec Hwy'!$D$57&gt;0,'Spec Hwy'!$D$57,"  ")</f>
        <v xml:space="preserve">  </v>
      </c>
      <c r="E29" s="38"/>
      <c r="F29" s="52" t="str">
        <f>IF('Spec Hwy'!$E$57&gt;0,'Spec Hwy'!$E$57,"  ")</f>
        <v xml:space="preserve">  </v>
      </c>
      <c r="G29" s="52"/>
      <c r="H29" s="227"/>
    </row>
    <row r="30" spans="1:8" x14ac:dyDescent="0.2">
      <c r="A30" s="52" t="str">
        <f>IF(inputPrYr!$B37&gt;"  ",(inputPrYr!$B37),"  ")</f>
        <v>Cemetary Perpetual Care</v>
      </c>
      <c r="B30" s="52" t="str">
        <f>IF(cemetary!$C$28&gt;0,cemetary!$C$28,"  ")</f>
        <v xml:space="preserve">  </v>
      </c>
      <c r="C30" s="38"/>
      <c r="D30" s="52" t="str">
        <f>IF(cemetary!$D$28&gt;0,cemetary!$D$28,"  ")</f>
        <v xml:space="preserve">  </v>
      </c>
      <c r="E30" s="38"/>
      <c r="F30" s="52" t="str">
        <f>IF(cemetary!$E$28&gt;0,cemetary!$E$28,"  ")</f>
        <v xml:space="preserve">  </v>
      </c>
      <c r="G30" s="52"/>
      <c r="H30" s="227"/>
    </row>
    <row r="31" spans="1:8" x14ac:dyDescent="0.2">
      <c r="A31" s="52" t="str">
        <f>IF(inputPrYr!$B38&gt;"  ",(inputPrYr!$B38),"  ")</f>
        <v xml:space="preserve">  </v>
      </c>
      <c r="B31" s="52" t="str">
        <f>IF(cemetary!$C$57&gt;0,cemetary!$C$57,"  ")</f>
        <v xml:space="preserve">  </v>
      </c>
      <c r="C31" s="38"/>
      <c r="D31" s="52" t="str">
        <f>IF(cemetary!$D$57&gt;0,cemetary!$D$57,"  ")</f>
        <v xml:space="preserve">  </v>
      </c>
      <c r="E31" s="38"/>
      <c r="F31" s="52" t="str">
        <f>IF(cemetary!$E$57&gt;0,cemetary!$E$57,"  ")</f>
        <v xml:space="preserve">  </v>
      </c>
      <c r="G31" s="52"/>
      <c r="H31" s="227"/>
    </row>
    <row r="32" spans="1:8" x14ac:dyDescent="0.2">
      <c r="A32" s="52" t="str">
        <f>IF(inputPrYr!$B39&gt;"  ",(inputPrYr!$B39),"  ")</f>
        <v xml:space="preserve">  </v>
      </c>
      <c r="B32" s="52" t="e">
        <f>IF(#REF!&gt;0,#REF!,"  ")</f>
        <v>#REF!</v>
      </c>
      <c r="C32" s="38"/>
      <c r="D32" s="52" t="e">
        <f>IF(#REF!&gt;0,#REF!,"  ")</f>
        <v>#REF!</v>
      </c>
      <c r="E32" s="38"/>
      <c r="F32" s="52" t="e">
        <f>IF(#REF!&gt;0,#REF!,"  ")</f>
        <v>#REF!</v>
      </c>
      <c r="G32" s="38"/>
      <c r="H32" s="38"/>
    </row>
    <row r="33" spans="1:13" x14ac:dyDescent="0.2">
      <c r="A33" s="52" t="str">
        <f>IF(inputPrYr!$B40&gt;"  ",(inputPrYr!$B40),"  ")</f>
        <v xml:space="preserve">  </v>
      </c>
      <c r="B33" s="52" t="e">
        <f>IF(#REF!&gt;0,#REF!,"  ")</f>
        <v>#REF!</v>
      </c>
      <c r="C33" s="38"/>
      <c r="D33" s="52" t="e">
        <f>IF(#REF!&gt;0,#REF!,"  ")</f>
        <v>#REF!</v>
      </c>
      <c r="E33" s="38"/>
      <c r="F33" s="52" t="e">
        <f>IF(#REF!&gt;0,#REF!,"  ")</f>
        <v>#REF!</v>
      </c>
      <c r="G33" s="38"/>
      <c r="H33" s="38"/>
    </row>
    <row r="34" spans="1:13" x14ac:dyDescent="0.2">
      <c r="A34" s="52" t="str">
        <f>IF(inputPrYr!$B41&gt;"  ",(inputPrYr!$B41),"  ")</f>
        <v xml:space="preserve">  </v>
      </c>
      <c r="B34" s="52" t="e">
        <f>IF(#REF!&gt;0,#REF!,"  ")</f>
        <v>#REF!</v>
      </c>
      <c r="C34" s="38"/>
      <c r="D34" s="52" t="e">
        <f>IF(#REF!&gt;0,#REF!,"  ")</f>
        <v>#REF!</v>
      </c>
      <c r="E34" s="38"/>
      <c r="F34" s="52" t="e">
        <f>IF(#REF!&gt;0,#REF!,"  ")</f>
        <v>#REF!</v>
      </c>
      <c r="G34" s="38"/>
      <c r="H34" s="38"/>
    </row>
    <row r="35" spans="1:13" x14ac:dyDescent="0.2">
      <c r="A35" s="52" t="str">
        <f>IF(inputPrYr!$B42&gt;"  ",(inputPrYr!$B42),"  ")</f>
        <v xml:space="preserve">  </v>
      </c>
      <c r="B35" s="52" t="e">
        <f>IF(#REF!&gt;0,#REF!,"  ")</f>
        <v>#REF!</v>
      </c>
      <c r="C35" s="38"/>
      <c r="D35" s="52" t="e">
        <f>IF(#REF!&gt;0,#REF!,"  ")</f>
        <v>#REF!</v>
      </c>
      <c r="E35" s="38"/>
      <c r="F35" s="52" t="e">
        <f>IF(#REF!&gt;0,#REF!,"  ")</f>
        <v>#REF!</v>
      </c>
      <c r="G35" s="38"/>
      <c r="H35" s="38"/>
    </row>
    <row r="36" spans="1:13" x14ac:dyDescent="0.2">
      <c r="A36" s="52" t="str">
        <f>IF(inputPrYr!$B43&gt;"  ",(inputPrYr!$B43),"  ")</f>
        <v xml:space="preserve">  </v>
      </c>
      <c r="B36" s="52" t="e">
        <f>IF(#REF!&gt;0,#REF!,"  ")</f>
        <v>#REF!</v>
      </c>
      <c r="C36" s="38"/>
      <c r="D36" s="52" t="e">
        <f>IF(#REF!&gt;0,#REF!,"  ")</f>
        <v>#REF!</v>
      </c>
      <c r="E36" s="38"/>
      <c r="F36" s="52" t="e">
        <f>IF(#REF!&gt;0,#REF!,"  ")</f>
        <v>#REF!</v>
      </c>
      <c r="G36" s="38"/>
      <c r="H36" s="38"/>
    </row>
    <row r="37" spans="1:13" x14ac:dyDescent="0.2">
      <c r="A37" s="52" t="str">
        <f>IF(inputPrYr!$B44&gt;"  ",(inputPrYr!$B44),"  ")</f>
        <v xml:space="preserve">  </v>
      </c>
      <c r="B37" s="52" t="e">
        <f>IF(#REF!&gt;0,#REF!,"  ")</f>
        <v>#REF!</v>
      </c>
      <c r="C37" s="38"/>
      <c r="D37" s="52" t="e">
        <f>IF(#REF!&gt;0,#REF!,"  ")</f>
        <v>#REF!</v>
      </c>
      <c r="E37" s="38"/>
      <c r="F37" s="52" t="e">
        <f>IF(#REF!&gt;0,#REF!,"  ")</f>
        <v>#REF!</v>
      </c>
      <c r="G37" s="38"/>
      <c r="H37" s="38"/>
    </row>
    <row r="38" spans="1:13" x14ac:dyDescent="0.2">
      <c r="A38" s="52" t="str">
        <f>IF(inputPrYr!$B45&gt;"  ",(inputPrYr!$B45),"  ")</f>
        <v xml:space="preserve">  </v>
      </c>
      <c r="B38" s="52" t="e">
        <f>IF(#REF!&gt;0,#REF!,"  ")</f>
        <v>#REF!</v>
      </c>
      <c r="C38" s="38"/>
      <c r="D38" s="52" t="e">
        <f>IF(#REF!&gt;0,#REF!,"  ")</f>
        <v>#REF!</v>
      </c>
      <c r="E38" s="38"/>
      <c r="F38" s="52" t="e">
        <f>IF(#REF!&gt;0,#REF!,"  ")</f>
        <v>#REF!</v>
      </c>
      <c r="G38" s="38"/>
      <c r="H38" s="38"/>
    </row>
    <row r="39" spans="1:13" x14ac:dyDescent="0.2">
      <c r="A39" s="52" t="str">
        <f>IF(inputPrYr!$B46&gt;"  ",(inputPrYr!$B46),"  ")</f>
        <v xml:space="preserve">  </v>
      </c>
      <c r="B39" s="52" t="e">
        <f>IF(#REF!&gt;0,#REF!,"  ")</f>
        <v>#REF!</v>
      </c>
      <c r="C39" s="38"/>
      <c r="D39" s="52" t="e">
        <f>IF(#REF!&gt;0,#REF!,"  ")</f>
        <v>#REF!</v>
      </c>
      <c r="E39" s="38"/>
      <c r="F39" s="52" t="e">
        <f>IF(#REF!&gt;0,#REF!,"  ")</f>
        <v>#REF!</v>
      </c>
      <c r="G39" s="38"/>
      <c r="H39" s="38"/>
    </row>
    <row r="40" spans="1:13" x14ac:dyDescent="0.2">
      <c r="A40" s="52" t="str">
        <f>IF(inputPrYr!$B47&gt;"  ",(inputPrYr!$B47),"  ")</f>
        <v xml:space="preserve">  </v>
      </c>
      <c r="B40" s="52" t="e">
        <f>IF(#REF!&gt;0,#REF!,"  ")</f>
        <v>#REF!</v>
      </c>
      <c r="C40" s="38"/>
      <c r="D40" s="52" t="e">
        <f>IF(#REF!&gt;0,#REF!,"  ")</f>
        <v>#REF!</v>
      </c>
      <c r="E40" s="38"/>
      <c r="F40" s="52" t="e">
        <f>IF(#REF!&gt;0,#REF!,"  ")</f>
        <v>#REF!</v>
      </c>
      <c r="G40" s="38"/>
      <c r="H40" s="38"/>
    </row>
    <row r="41" spans="1:13" x14ac:dyDescent="0.25">
      <c r="A41" s="52" t="str">
        <f>IF(inputPrYr!$B48&gt;"  ",(inputPrYr!$B48),"  ")</f>
        <v xml:space="preserve">  </v>
      </c>
      <c r="B41" s="52" t="e">
        <f>IF(#REF!&gt;0,#REF!,"  ")</f>
        <v>#REF!</v>
      </c>
      <c r="C41" s="38"/>
      <c r="D41" s="52" t="e">
        <f>IF(#REF!&gt;0,#REF!,"  ")</f>
        <v>#REF!</v>
      </c>
      <c r="E41" s="38"/>
      <c r="F41" s="52" t="e">
        <f>IF(#REF!&gt;0,#REF!,"  ")</f>
        <v>#REF!</v>
      </c>
      <c r="G41" s="38"/>
      <c r="H41" s="38"/>
      <c r="J41" s="742" t="str">
        <f>CONCATENATE("Estimated Value Of One Mill For ",H2,"")</f>
        <v>Estimated Value Of One Mill For 2024</v>
      </c>
      <c r="K41" s="743"/>
      <c r="L41" s="743"/>
      <c r="M41" s="744"/>
    </row>
    <row r="42" spans="1:13" x14ac:dyDescent="0.25">
      <c r="A42" s="52" t="str">
        <f>IF(inputPrYr!$B49&gt;"  ",(inputPrYr!$B49),"  ")</f>
        <v xml:space="preserve">  </v>
      </c>
      <c r="B42" s="52" t="e">
        <f>IF(#REF!&gt;0,#REF!,"  ")</f>
        <v>#REF!</v>
      </c>
      <c r="C42" s="38"/>
      <c r="D42" s="52" t="e">
        <f>IF(#REF!&gt;0,#REF!,"  ")</f>
        <v>#REF!</v>
      </c>
      <c r="E42" s="38"/>
      <c r="F42" s="52" t="e">
        <f>IF(#REF!&gt;0,#REF!,"  ")</f>
        <v>#REF!</v>
      </c>
      <c r="G42" s="38"/>
      <c r="H42" s="38"/>
      <c r="J42" s="312"/>
      <c r="K42" s="313"/>
      <c r="L42" s="313"/>
      <c r="M42" s="314"/>
    </row>
    <row r="43" spans="1:13" x14ac:dyDescent="0.25">
      <c r="A43" s="52" t="str">
        <f>IF(inputPrYr!$B50&gt;"  ",(inputPrYr!$B50),"  ")</f>
        <v xml:space="preserve">  </v>
      </c>
      <c r="B43" s="52" t="e">
        <f>IF(#REF!&gt;0,#REF!,"  ")</f>
        <v>#REF!</v>
      </c>
      <c r="C43" s="38"/>
      <c r="D43" s="52" t="e">
        <f>IF(#REF!&gt;0,#REF!,"  ")</f>
        <v>#REF!</v>
      </c>
      <c r="E43" s="38"/>
      <c r="F43" s="52" t="e">
        <f>IF(#REF!&gt;0,#REF!,"  ")</f>
        <v>#REF!</v>
      </c>
      <c r="G43" s="38"/>
      <c r="H43" s="38"/>
      <c r="J43" s="315" t="s">
        <v>341</v>
      </c>
      <c r="K43" s="316"/>
      <c r="L43" s="316"/>
      <c r="M43" s="499">
        <f>ROUND(F58/1000,0)</f>
        <v>20856</v>
      </c>
    </row>
    <row r="44" spans="1:13" x14ac:dyDescent="0.2">
      <c r="A44" s="52" t="str">
        <f>IF(inputPrYr!$B52&gt;"  ",(inputPrYr!$B52),"  ")</f>
        <v>Combined Sales Tax Improv</v>
      </c>
      <c r="B44" s="52" t="str">
        <f>IF('Combined sales tax'!$C$44&gt;0,'Combined sales tax'!$C$44,"  ")</f>
        <v xml:space="preserve">  </v>
      </c>
      <c r="C44" s="38"/>
      <c r="D44" s="52" t="str">
        <f>IF('Combined sales tax'!$D$44&gt;0,'Combined sales tax'!$D$44,"  ")</f>
        <v xml:space="preserve">  </v>
      </c>
      <c r="E44" s="38"/>
      <c r="F44" s="52" t="str">
        <f>IF('Combined sales tax'!$E$44&gt;0,'Combined sales tax'!$E$44,"  ")</f>
        <v xml:space="preserve">  </v>
      </c>
      <c r="G44" s="38"/>
      <c r="H44" s="38"/>
    </row>
    <row r="45" spans="1:13" x14ac:dyDescent="0.25">
      <c r="A45" s="52" t="str">
        <f>IF(inputPrYr!$B53&gt;"  ",(inputPrYr!$B53),"  ")</f>
        <v>Community Enhanc Sales Tax</v>
      </c>
      <c r="B45" s="52" t="str">
        <f>IF('Community sales tax'!$C$44&gt;0,'Community sales tax'!$C$44,"  ")</f>
        <v xml:space="preserve">  </v>
      </c>
      <c r="C45" s="38"/>
      <c r="D45" s="52" t="str">
        <f>IF('Community sales tax'!$D$44&gt;0,'Community sales tax'!$D$44,"  ")</f>
        <v xml:space="preserve">  </v>
      </c>
      <c r="E45" s="38"/>
      <c r="F45" s="52" t="str">
        <f>IF('Community sales tax'!$E$44&gt;0,'Community sales tax'!$E$44,"  ")</f>
        <v xml:space="preserve">  </v>
      </c>
      <c r="G45" s="38"/>
      <c r="H45" s="38"/>
      <c r="J45" s="742" t="str">
        <f>CONCATENATE("Want The Mill Rate The Same As For ",H2-1,"?")</f>
        <v>Want The Mill Rate The Same As For 2023?</v>
      </c>
      <c r="K45" s="743"/>
      <c r="L45" s="743"/>
      <c r="M45" s="744"/>
    </row>
    <row r="46" spans="1:13" x14ac:dyDescent="0.25">
      <c r="A46" s="52" t="str">
        <f>IF(inputPrYr!$B54&gt;"  ",(inputPrYr!$B54),"  ")</f>
        <v>Water/Sewer/Refuse Utitly</v>
      </c>
      <c r="B46" s="52" t="str">
        <f>IF('WaterSewer Utility'!$C$44&gt;0,'WaterSewer Utility'!$C$44,"  ")</f>
        <v xml:space="preserve">  </v>
      </c>
      <c r="C46" s="38"/>
      <c r="D46" s="52" t="str">
        <f>IF('WaterSewer Utility'!$D$44&gt;0,'WaterSewer Utility'!$D$44,"  ")</f>
        <v xml:space="preserve">  </v>
      </c>
      <c r="E46" s="38"/>
      <c r="F46" s="52" t="str">
        <f>IF('WaterSewer Utility'!$E$44&gt;0,'WaterSewer Utility'!$E$44,"  ")</f>
        <v xml:space="preserve">  </v>
      </c>
      <c r="G46" s="38"/>
      <c r="H46" s="38"/>
      <c r="J46" s="319"/>
      <c r="K46" s="313"/>
      <c r="L46" s="313"/>
      <c r="M46" s="320"/>
    </row>
    <row r="47" spans="1:13" x14ac:dyDescent="0.25">
      <c r="A47" s="52" t="str">
        <f>IF(inputPrYr!$B55&gt;"  ",(inputPrYr!$B55),"  ")</f>
        <v xml:space="preserve">  </v>
      </c>
      <c r="B47" s="52" t="e">
        <f>IF(#REF!&gt;0,#REF!,"  ")</f>
        <v>#REF!</v>
      </c>
      <c r="C47" s="38"/>
      <c r="D47" s="52" t="e">
        <f>IF(#REF!&gt;0,#REF!,"  ")</f>
        <v>#REF!</v>
      </c>
      <c r="E47" s="38"/>
      <c r="F47" s="52" t="e">
        <f>IF(#REF!&gt;0,#REF!,"  ")</f>
        <v>#REF!</v>
      </c>
      <c r="G47" s="38"/>
      <c r="H47" s="38"/>
      <c r="J47" s="319" t="str">
        <f>CONCATENATE("",H2-1," Mill Rate Was:")</f>
        <v>2023 Mill Rate Was:</v>
      </c>
      <c r="K47" s="313"/>
      <c r="L47" s="313"/>
      <c r="M47" s="321">
        <f>E52</f>
        <v>54.954999999999991</v>
      </c>
    </row>
    <row r="48" spans="1:13" x14ac:dyDescent="0.25">
      <c r="A48" s="52" t="str">
        <f>IF(inputPrYr!$B58&gt;"  ",('Reserve Funds A'!$A3),"  ")</f>
        <v>Non-Budgeted Funds-A</v>
      </c>
      <c r="B48" s="52" t="str">
        <f>IF('Reserve Funds A'!$K$28&gt;0,'Reserve Funds A'!$K$28,"  ")</f>
        <v xml:space="preserve">  </v>
      </c>
      <c r="C48" s="38"/>
      <c r="D48" s="52"/>
      <c r="E48" s="38"/>
      <c r="F48" s="52"/>
      <c r="G48" s="38"/>
      <c r="H48" s="38"/>
      <c r="J48" s="322" t="str">
        <f>CONCATENATE("",H2," Tax Levy Fund Expenditures Must Be")</f>
        <v>2024 Tax Levy Fund Expenditures Must Be</v>
      </c>
      <c r="K48" s="323"/>
      <c r="L48" s="323"/>
      <c r="M48" s="320"/>
    </row>
    <row r="49" spans="1:13" x14ac:dyDescent="0.25">
      <c r="A49" s="52" t="str">
        <f>IF(inputPrYr!$B64&gt;"  ",('Reserve Funds B'!$A3),"  ")</f>
        <v>Non-Budgeted Funds-B</v>
      </c>
      <c r="B49" s="52" t="str">
        <f>IF('Reserve Funds B'!$K$28&gt;0,'Reserve Funds B'!$K$28,"  ")</f>
        <v xml:space="preserve">  </v>
      </c>
      <c r="C49" s="38"/>
      <c r="D49" s="52"/>
      <c r="E49" s="38"/>
      <c r="F49" s="52"/>
      <c r="G49" s="38"/>
      <c r="H49" s="38"/>
      <c r="J49" s="322" t="e">
        <f>IF(M49&gt;0,"Increased By:","")</f>
        <v>#REF!</v>
      </c>
      <c r="K49" s="323"/>
      <c r="L49" s="323"/>
      <c r="M49" s="361" t="e">
        <f>IF(M56&lt;0,M56*-1,0)</f>
        <v>#REF!</v>
      </c>
    </row>
    <row r="50" spans="1:13" x14ac:dyDescent="0.2">
      <c r="A50" s="52" t="str">
        <f>IF(inputPrYr!$B70&gt;"  ",(#REF!),"  ")</f>
        <v xml:space="preserve">  </v>
      </c>
      <c r="B50" s="52" t="e">
        <f>IF(#REF!&gt;0,#REF!,"  ")</f>
        <v>#REF!</v>
      </c>
      <c r="C50" s="38"/>
      <c r="D50" s="52"/>
      <c r="E50" s="38"/>
      <c r="F50" s="52"/>
      <c r="G50" s="38"/>
      <c r="H50" s="38"/>
      <c r="J50" s="362" t="e">
        <f>IF(M50&lt;0,"Reduced By:","")</f>
        <v>#REF!</v>
      </c>
      <c r="K50" s="363"/>
      <c r="L50" s="363"/>
      <c r="M50" s="364" t="e">
        <f>IF(M56&gt;0,M56*-1,0)</f>
        <v>#REF!</v>
      </c>
    </row>
    <row r="51" spans="1:13" ht="16.5" thickBot="1" x14ac:dyDescent="0.3">
      <c r="A51" s="52" t="str">
        <f>IF(inputPrYr!$B76&gt;"  ",(#REF!),"  ")</f>
        <v xml:space="preserve">  </v>
      </c>
      <c r="B51" s="330" t="e">
        <f>IF(#REF!&gt;0,#REF!,"  ")</f>
        <v>#REF!</v>
      </c>
      <c r="C51" s="331"/>
      <c r="D51" s="330"/>
      <c r="E51" s="331"/>
      <c r="F51" s="330"/>
      <c r="G51" s="331"/>
      <c r="H51" s="331"/>
      <c r="J51" s="318"/>
      <c r="K51" s="318"/>
      <c r="L51" s="318"/>
      <c r="M51" s="318"/>
    </row>
    <row r="52" spans="1:13" ht="16.5" thickBot="1" x14ac:dyDescent="0.3">
      <c r="A52" s="574" t="s">
        <v>351</v>
      </c>
      <c r="B52" s="575" t="e">
        <f>SUM(B15:B51)</f>
        <v>#REF!</v>
      </c>
      <c r="C52" s="576">
        <f>SUM(C15:C27)</f>
        <v>51.578000000000003</v>
      </c>
      <c r="D52" s="575" t="e">
        <f>SUM(D15:D51)</f>
        <v>#REF!</v>
      </c>
      <c r="E52" s="576">
        <f>SUM(E15:E27)</f>
        <v>54.954999999999991</v>
      </c>
      <c r="F52" s="575" t="e">
        <f>SUM(F15:F51)</f>
        <v>#REF!</v>
      </c>
      <c r="G52" s="575" t="e">
        <f>SUM(G15:G51)</f>
        <v>#REF!</v>
      </c>
      <c r="H52" s="576" t="e">
        <f>SUM(H15:H27)</f>
        <v>#REF!</v>
      </c>
      <c r="J52" s="742" t="str">
        <f>CONCATENATE("Impact On Keeping The Same Mill Rate As For ",H2-1,"")</f>
        <v>Impact On Keeping The Same Mill Rate As For 2023</v>
      </c>
      <c r="K52" s="749"/>
      <c r="L52" s="749"/>
      <c r="M52" s="750"/>
    </row>
    <row r="53" spans="1:13" ht="16.5" thickTop="1" x14ac:dyDescent="0.25">
      <c r="A53" s="733" t="s">
        <v>565</v>
      </c>
      <c r="B53" s="734"/>
      <c r="C53" s="734"/>
      <c r="D53" s="734"/>
      <c r="E53" s="734"/>
      <c r="F53" s="734"/>
      <c r="G53" s="735"/>
      <c r="H53" s="573">
        <f>inputOth!D20</f>
        <v>50.973999999999997</v>
      </c>
      <c r="I53" s="327"/>
      <c r="J53" s="319"/>
      <c r="K53" s="313"/>
      <c r="L53" s="313"/>
      <c r="M53" s="320"/>
    </row>
    <row r="54" spans="1:13" x14ac:dyDescent="0.25">
      <c r="A54" s="29" t="s">
        <v>84</v>
      </c>
      <c r="B54" s="295">
        <f>Transfers!D26</f>
        <v>0</v>
      </c>
      <c r="C54" s="356"/>
      <c r="D54" s="295">
        <f>Transfers!E26</f>
        <v>0</v>
      </c>
      <c r="E54" s="240"/>
      <c r="F54" s="295">
        <f>Transfers!F26</f>
        <v>0</v>
      </c>
      <c r="G54" s="354"/>
      <c r="H54" s="240"/>
      <c r="J54" s="319" t="str">
        <f>CONCATENATE("",H2," Ad Valorem Tax Revenue:")</f>
        <v>2024 Ad Valorem Tax Revenue:</v>
      </c>
      <c r="K54" s="313"/>
      <c r="L54" s="313"/>
      <c r="M54" s="314" t="e">
        <f>G52</f>
        <v>#REF!</v>
      </c>
    </row>
    <row r="55" spans="1:13" ht="16.5" thickBot="1" x14ac:dyDescent="0.3">
      <c r="A55" s="29" t="s">
        <v>85</v>
      </c>
      <c r="B55" s="237" t="e">
        <f>B52-B54</f>
        <v>#REF!</v>
      </c>
      <c r="C55" s="28"/>
      <c r="D55" s="237" t="e">
        <f>D52-D54</f>
        <v>#REF!</v>
      </c>
      <c r="E55" s="28"/>
      <c r="F55" s="237" t="e">
        <f>F52-F54</f>
        <v>#REF!</v>
      </c>
      <c r="G55" s="28"/>
      <c r="H55" s="28"/>
      <c r="J55" s="319" t="str">
        <f>CONCATENATE("",H2-1," Ad Valorem Tax Revenue:")</f>
        <v>2023 Ad Valorem Tax Revenue:</v>
      </c>
      <c r="K55" s="313"/>
      <c r="L55" s="313"/>
      <c r="M55" s="326">
        <f>ROUND(F58*M47/1000,0)</f>
        <v>1146142</v>
      </c>
    </row>
    <row r="56" spans="1:13" ht="16.5" thickTop="1" x14ac:dyDescent="0.25">
      <c r="A56" s="29" t="s">
        <v>86</v>
      </c>
      <c r="B56" s="295">
        <f>inputPrYr!$E$100</f>
        <v>898288</v>
      </c>
      <c r="C56" s="47"/>
      <c r="D56" s="295">
        <f>inputPrYr!$E$32</f>
        <v>1063125</v>
      </c>
      <c r="E56" s="47"/>
      <c r="F56" s="228" t="s">
        <v>49</v>
      </c>
      <c r="G56" s="28"/>
      <c r="H56" s="28"/>
      <c r="J56" s="324" t="s">
        <v>342</v>
      </c>
      <c r="K56" s="325"/>
      <c r="L56" s="325"/>
      <c r="M56" s="317" t="e">
        <f>SUM(M54-M55)</f>
        <v>#REF!</v>
      </c>
    </row>
    <row r="57" spans="1:13" x14ac:dyDescent="0.25">
      <c r="A57" s="29" t="s">
        <v>87</v>
      </c>
      <c r="B57" s="114"/>
      <c r="C57" s="28"/>
      <c r="D57" s="296"/>
      <c r="E57" s="115"/>
      <c r="F57" s="95"/>
      <c r="G57" s="28"/>
      <c r="H57" s="28"/>
      <c r="J57" s="318"/>
      <c r="K57" s="318"/>
      <c r="L57" s="318"/>
      <c r="M57" s="318"/>
    </row>
    <row r="58" spans="1:13" x14ac:dyDescent="0.25">
      <c r="A58" s="29" t="s">
        <v>88</v>
      </c>
      <c r="B58" s="295">
        <f>inputPrYr!$E$101</f>
        <v>17416209</v>
      </c>
      <c r="C58" s="28"/>
      <c r="D58" s="295">
        <f>inputOth!$E$39</f>
        <v>19345400</v>
      </c>
      <c r="E58" s="28"/>
      <c r="F58" s="295">
        <f>inputOth!$E$7</f>
        <v>20856018</v>
      </c>
      <c r="G58" s="28"/>
      <c r="H58" s="28"/>
      <c r="J58" s="742" t="s">
        <v>343</v>
      </c>
      <c r="K58" s="747"/>
      <c r="L58" s="747"/>
      <c r="M58" s="748"/>
    </row>
    <row r="59" spans="1:13" x14ac:dyDescent="0.25">
      <c r="A59" s="29" t="s">
        <v>89</v>
      </c>
      <c r="B59" s="28"/>
      <c r="C59" s="28"/>
      <c r="D59" s="28"/>
      <c r="E59" s="28"/>
      <c r="F59" s="28"/>
      <c r="G59" s="28"/>
      <c r="H59" s="28"/>
      <c r="J59" s="319"/>
      <c r="K59" s="313"/>
      <c r="L59" s="313"/>
      <c r="M59" s="320"/>
    </row>
    <row r="60" spans="1:13" ht="13.5" customHeight="1" x14ac:dyDescent="0.25">
      <c r="A60" s="29" t="s">
        <v>90</v>
      </c>
      <c r="B60" s="229">
        <f>$H$2-3</f>
        <v>2021</v>
      </c>
      <c r="C60" s="28"/>
      <c r="D60" s="229">
        <f>$H$2-2</f>
        <v>2022</v>
      </c>
      <c r="E60" s="28"/>
      <c r="F60" s="229">
        <f>$H$2-1</f>
        <v>2023</v>
      </c>
      <c r="G60" s="28"/>
      <c r="H60" s="28"/>
      <c r="J60" s="319" t="str">
        <f>CONCATENATE("Current ",H2," Estimated Mill Rate:")</f>
        <v>Current 2024 Estimated Mill Rate:</v>
      </c>
      <c r="K60" s="313"/>
      <c r="L60" s="313"/>
      <c r="M60" s="321" t="e">
        <f>H52</f>
        <v>#REF!</v>
      </c>
    </row>
    <row r="61" spans="1:13" x14ac:dyDescent="0.25">
      <c r="A61" s="29" t="s">
        <v>91</v>
      </c>
      <c r="B61" s="154">
        <f>inputPrYr!$D$105</f>
        <v>1835000</v>
      </c>
      <c r="C61" s="109"/>
      <c r="D61" s="154">
        <f>inputPrYr!$E$105</f>
        <v>1725000</v>
      </c>
      <c r="E61" s="109"/>
      <c r="F61" s="154">
        <f>Debt!$G$20</f>
        <v>1725000</v>
      </c>
      <c r="G61" s="28"/>
      <c r="H61" s="28"/>
      <c r="J61" s="319" t="str">
        <f>CONCATENATE("Desired ",H2," Mill Rate:")</f>
        <v>Desired 2024 Mill Rate:</v>
      </c>
      <c r="K61" s="313"/>
      <c r="L61" s="313"/>
      <c r="M61" s="311">
        <v>9</v>
      </c>
    </row>
    <row r="62" spans="1:13" ht="18.75" customHeight="1" x14ac:dyDescent="0.25">
      <c r="A62" s="29" t="s">
        <v>92</v>
      </c>
      <c r="B62" s="295">
        <f>inputPrYr!$D$106</f>
        <v>0</v>
      </c>
      <c r="C62" s="109"/>
      <c r="D62" s="295">
        <f>inputPrYr!$E$106</f>
        <v>0</v>
      </c>
      <c r="E62" s="109"/>
      <c r="F62" s="154">
        <f>Debt!$G$32</f>
        <v>0</v>
      </c>
      <c r="G62" s="28"/>
      <c r="H62" s="28"/>
      <c r="J62" s="319" t="str">
        <f>CONCATENATE("",H2," Ad Valorem Tax:")</f>
        <v>2024 Ad Valorem Tax:</v>
      </c>
      <c r="K62" s="313"/>
      <c r="L62" s="313"/>
      <c r="M62" s="326">
        <f>ROUND(F58*M61/1000,0)</f>
        <v>187704</v>
      </c>
    </row>
    <row r="63" spans="1:13" ht="18.75" customHeight="1" x14ac:dyDescent="0.25">
      <c r="A63" s="28" t="s">
        <v>110</v>
      </c>
      <c r="B63" s="295">
        <f>inputPrYr!$D$107</f>
        <v>543111</v>
      </c>
      <c r="C63" s="109"/>
      <c r="D63" s="295">
        <f>inputPrYr!$E$107</f>
        <v>367631</v>
      </c>
      <c r="E63" s="109"/>
      <c r="F63" s="154">
        <f>Debt!$G$42</f>
        <v>0</v>
      </c>
      <c r="G63" s="28"/>
      <c r="H63" s="28"/>
      <c r="J63" s="324" t="str">
        <f>CONCATENATE("",H2," Tax Levy Fund Exp. Changed By:")</f>
        <v>2024 Tax Levy Fund Exp. Changed By:</v>
      </c>
      <c r="K63" s="325"/>
      <c r="L63" s="325"/>
      <c r="M63" s="317" t="e">
        <f>IF(M61=0,0,(M62-G52))</f>
        <v>#REF!</v>
      </c>
    </row>
    <row r="64" spans="1:13" ht="18.75" customHeight="1" x14ac:dyDescent="0.2">
      <c r="A64" s="29" t="s">
        <v>144</v>
      </c>
      <c r="B64" s="295">
        <f>inputPrYr!$D$108</f>
        <v>126983</v>
      </c>
      <c r="C64" s="109"/>
      <c r="D64" s="295">
        <f>inputPrYr!$E$108</f>
        <v>53957</v>
      </c>
      <c r="E64" s="109"/>
      <c r="F64" s="154">
        <f>'LP Form'!$G$28</f>
        <v>553957</v>
      </c>
      <c r="G64" s="28"/>
      <c r="H64" s="28"/>
    </row>
    <row r="65" spans="1:13" ht="18.75" customHeight="1" thickBot="1" x14ac:dyDescent="0.25">
      <c r="A65" s="29" t="s">
        <v>93</v>
      </c>
      <c r="B65" s="357">
        <f>SUM(B61:B64)</f>
        <v>2505094</v>
      </c>
      <c r="C65" s="109"/>
      <c r="D65" s="357">
        <f>SUM(D61:D64)</f>
        <v>2146588</v>
      </c>
      <c r="E65" s="109"/>
      <c r="F65" s="357">
        <f>SUM(F61:F64)</f>
        <v>2278957</v>
      </c>
      <c r="G65" s="28"/>
      <c r="H65" s="28"/>
      <c r="J65" s="736" t="s">
        <v>726</v>
      </c>
      <c r="K65" s="737"/>
      <c r="L65" s="737"/>
      <c r="M65" s="727" t="e">
        <f>IF(H52&gt;H53, "Yes", "No")</f>
        <v>#REF!</v>
      </c>
    </row>
    <row r="66" spans="1:13" ht="16.5" thickTop="1" x14ac:dyDescent="0.2">
      <c r="A66" s="29" t="s">
        <v>94</v>
      </c>
      <c r="B66" s="28"/>
      <c r="C66" s="28"/>
      <c r="D66" s="28"/>
      <c r="E66" s="28"/>
      <c r="F66" s="28"/>
      <c r="G66" s="28"/>
      <c r="H66" s="28"/>
      <c r="J66" s="738"/>
      <c r="K66" s="739"/>
      <c r="L66" s="739"/>
      <c r="M66" s="728"/>
    </row>
    <row r="67" spans="1:13" x14ac:dyDescent="0.2">
      <c r="A67" s="544" t="s">
        <v>718</v>
      </c>
      <c r="B67" s="28"/>
      <c r="C67" s="28"/>
      <c r="D67" s="28"/>
      <c r="E67" s="28"/>
      <c r="F67" s="28"/>
      <c r="G67" s="28"/>
      <c r="H67" s="28"/>
      <c r="J67" s="714" t="e">
        <f>IF(M65="Yes", "Follow procedure prescirbed by KSA 79-2988 to exceed the Revenue Neutral Rate.", " ")</f>
        <v>#REF!</v>
      </c>
      <c r="K67" s="714"/>
      <c r="L67" s="714"/>
      <c r="M67" s="714"/>
    </row>
    <row r="68" spans="1:13" x14ac:dyDescent="0.2">
      <c r="A68" s="28"/>
      <c r="B68" s="28"/>
      <c r="C68" s="28"/>
      <c r="D68" s="28"/>
      <c r="E68" s="28"/>
      <c r="F68" s="28"/>
      <c r="G68" s="28"/>
      <c r="H68" s="28"/>
      <c r="J68" s="715"/>
      <c r="K68" s="715"/>
      <c r="L68" s="715"/>
      <c r="M68" s="715"/>
    </row>
    <row r="69" spans="1:13" x14ac:dyDescent="0.2">
      <c r="A69" s="746" t="str">
        <f>inputHearing!B28</f>
        <v>Tammy Jones</v>
      </c>
      <c r="B69" s="746"/>
      <c r="C69" s="28"/>
      <c r="D69" s="28"/>
      <c r="E69" s="28"/>
      <c r="F69" s="28"/>
      <c r="G69" s="28"/>
      <c r="H69" s="28"/>
      <c r="J69" s="715"/>
      <c r="K69" s="715"/>
      <c r="L69" s="715"/>
      <c r="M69" s="715"/>
    </row>
    <row r="70" spans="1:13" x14ac:dyDescent="0.2">
      <c r="A70" s="107" t="s">
        <v>170</v>
      </c>
      <c r="B70" s="369" t="str">
        <f>inputHearing!B30</f>
        <v>City Clerk</v>
      </c>
      <c r="C70" s="28"/>
      <c r="D70" s="28"/>
      <c r="E70" s="28"/>
      <c r="F70" s="28"/>
      <c r="G70" s="28"/>
      <c r="H70" s="28"/>
    </row>
    <row r="71" spans="1:13" x14ac:dyDescent="0.2">
      <c r="A71" s="28"/>
      <c r="B71" s="28"/>
      <c r="C71" s="28"/>
      <c r="D71" s="28"/>
      <c r="E71" s="28"/>
      <c r="F71" s="28"/>
      <c r="G71" s="28"/>
      <c r="H71" s="28"/>
    </row>
    <row r="72" spans="1:13" x14ac:dyDescent="0.2">
      <c r="A72" s="28"/>
      <c r="B72" s="28"/>
      <c r="C72" s="80" t="s">
        <v>70</v>
      </c>
      <c r="D72" s="464"/>
      <c r="E72" s="28"/>
      <c r="F72" s="28"/>
      <c r="G72" s="28"/>
      <c r="H72" s="28"/>
    </row>
  </sheetData>
  <sheetProtection sheet="1" objects="1" scenarios="1"/>
  <mergeCells count="22">
    <mergeCell ref="J65:L66"/>
    <mergeCell ref="M65:M66"/>
    <mergeCell ref="J67:M69"/>
    <mergeCell ref="A69:B69"/>
    <mergeCell ref="H13:H14"/>
    <mergeCell ref="J41:M41"/>
    <mergeCell ref="J45:M45"/>
    <mergeCell ref="J52:M52"/>
    <mergeCell ref="A53:G53"/>
    <mergeCell ref="J58:M58"/>
    <mergeCell ref="B13:B14"/>
    <mergeCell ref="C13:C14"/>
    <mergeCell ref="D13:D14"/>
    <mergeCell ref="E13:E14"/>
    <mergeCell ref="F13:F14"/>
    <mergeCell ref="G13:G14"/>
    <mergeCell ref="A7:H7"/>
    <mergeCell ref="A1:H1"/>
    <mergeCell ref="A3:H3"/>
    <mergeCell ref="A4:H4"/>
    <mergeCell ref="A5:H5"/>
    <mergeCell ref="A6:H6"/>
  </mergeCells>
  <conditionalFormatting sqref="M65:M66">
    <cfRule type="containsText" dxfId="0" priority="1" operator="containsText" text="Yes">
      <formula>NOT(ISERROR(SEARCH("Yes",M65)))</formula>
    </cfRule>
  </conditionalFormatting>
  <pageMargins left="1" right="0.5" top="1" bottom="0.5" header="0.5" footer="0.5"/>
  <pageSetup scale="61" orientation="portrait" blackAndWhite="1" horizontalDpi="120" verticalDpi="144" r:id="rId1"/>
  <headerFooter alignWithMargins="0">
    <oddHeader>&amp;RState of Kansas
City</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37"/>
  <sheetViews>
    <sheetView workbookViewId="0">
      <selection activeCell="H1" sqref="H1"/>
    </sheetView>
  </sheetViews>
  <sheetFormatPr defaultRowHeight="15.75" x14ac:dyDescent="0.2"/>
  <cols>
    <col min="1" max="1" width="14.109375" style="24" customWidth="1"/>
    <col min="2" max="2" width="12.77734375" style="24" customWidth="1"/>
    <col min="3" max="3" width="8.77734375" style="24" customWidth="1"/>
    <col min="4" max="4" width="7.33203125" style="24" customWidth="1"/>
    <col min="5" max="5" width="8.5546875" style="24" customWidth="1"/>
    <col min="6" max="6" width="12.77734375" style="24" customWidth="1"/>
    <col min="7" max="7" width="11.88671875" style="24" customWidth="1"/>
    <col min="8" max="8" width="14.109375" style="24" customWidth="1"/>
    <col min="9" max="252" width="8.88671875" style="24"/>
    <col min="253" max="253" width="15.77734375" style="24" customWidth="1"/>
    <col min="254" max="254" width="12.77734375" style="24" customWidth="1"/>
    <col min="255" max="255" width="8.77734375" style="24" customWidth="1"/>
    <col min="256" max="256" width="13.77734375" style="24" customWidth="1"/>
    <col min="257" max="257" width="8.77734375" style="24" customWidth="1"/>
    <col min="258" max="258" width="12.77734375" style="24" customWidth="1"/>
    <col min="259" max="259" width="10.77734375" style="24" customWidth="1"/>
    <col min="260" max="260" width="8.77734375" style="24" customWidth="1"/>
    <col min="261" max="261" width="8.88671875" style="24"/>
    <col min="262" max="262" width="12.44140625" style="24" customWidth="1"/>
    <col min="263" max="263" width="12.33203125" style="24" customWidth="1"/>
    <col min="264" max="264" width="8.88671875" style="24"/>
    <col min="265" max="265" width="12.109375" style="24" customWidth="1"/>
    <col min="266" max="508" width="8.88671875" style="24"/>
    <col min="509" max="509" width="15.77734375" style="24" customWidth="1"/>
    <col min="510" max="510" width="12.77734375" style="24" customWidth="1"/>
    <col min="511" max="511" width="8.77734375" style="24" customWidth="1"/>
    <col min="512" max="512" width="13.77734375" style="24" customWidth="1"/>
    <col min="513" max="513" width="8.77734375" style="24" customWidth="1"/>
    <col min="514" max="514" width="12.77734375" style="24" customWidth="1"/>
    <col min="515" max="515" width="10.77734375" style="24" customWidth="1"/>
    <col min="516" max="516" width="8.77734375" style="24" customWidth="1"/>
    <col min="517" max="517" width="8.88671875" style="24"/>
    <col min="518" max="518" width="12.44140625" style="24" customWidth="1"/>
    <col min="519" max="519" width="12.33203125" style="24" customWidth="1"/>
    <col min="520" max="520" width="8.88671875" style="24"/>
    <col min="521" max="521" width="12.109375" style="24" customWidth="1"/>
    <col min="522" max="764" width="8.88671875" style="24"/>
    <col min="765" max="765" width="15.77734375" style="24" customWidth="1"/>
    <col min="766" max="766" width="12.77734375" style="24" customWidth="1"/>
    <col min="767" max="767" width="8.77734375" style="24" customWidth="1"/>
    <col min="768" max="768" width="13.77734375" style="24" customWidth="1"/>
    <col min="769" max="769" width="8.77734375" style="24" customWidth="1"/>
    <col min="770" max="770" width="12.77734375" style="24" customWidth="1"/>
    <col min="771" max="771" width="10.77734375" style="24" customWidth="1"/>
    <col min="772" max="772" width="8.77734375" style="24" customWidth="1"/>
    <col min="773" max="773" width="8.88671875" style="24"/>
    <col min="774" max="774" width="12.44140625" style="24" customWidth="1"/>
    <col min="775" max="775" width="12.33203125" style="24" customWidth="1"/>
    <col min="776" max="776" width="8.88671875" style="24"/>
    <col min="777" max="777" width="12.109375" style="24" customWidth="1"/>
    <col min="778" max="1020" width="8.88671875" style="24"/>
    <col min="1021" max="1021" width="15.77734375" style="24" customWidth="1"/>
    <col min="1022" max="1022" width="12.77734375" style="24" customWidth="1"/>
    <col min="1023" max="1023" width="8.77734375" style="24" customWidth="1"/>
    <col min="1024" max="1024" width="13.77734375" style="24" customWidth="1"/>
    <col min="1025" max="1025" width="8.77734375" style="24" customWidth="1"/>
    <col min="1026" max="1026" width="12.77734375" style="24" customWidth="1"/>
    <col min="1027" max="1027" width="10.77734375" style="24" customWidth="1"/>
    <col min="1028" max="1028" width="8.77734375" style="24" customWidth="1"/>
    <col min="1029" max="1029" width="8.88671875" style="24"/>
    <col min="1030" max="1030" width="12.44140625" style="24" customWidth="1"/>
    <col min="1031" max="1031" width="12.33203125" style="24" customWidth="1"/>
    <col min="1032" max="1032" width="8.88671875" style="24"/>
    <col min="1033" max="1033" width="12.109375" style="24" customWidth="1"/>
    <col min="1034" max="1276" width="8.88671875" style="24"/>
    <col min="1277" max="1277" width="15.77734375" style="24" customWidth="1"/>
    <col min="1278" max="1278" width="12.77734375" style="24" customWidth="1"/>
    <col min="1279" max="1279" width="8.77734375" style="24" customWidth="1"/>
    <col min="1280" max="1280" width="13.77734375" style="24" customWidth="1"/>
    <col min="1281" max="1281" width="8.77734375" style="24" customWidth="1"/>
    <col min="1282" max="1282" width="12.77734375" style="24" customWidth="1"/>
    <col min="1283" max="1283" width="10.77734375" style="24" customWidth="1"/>
    <col min="1284" max="1284" width="8.77734375" style="24" customWidth="1"/>
    <col min="1285" max="1285" width="8.88671875" style="24"/>
    <col min="1286" max="1286" width="12.44140625" style="24" customWidth="1"/>
    <col min="1287" max="1287" width="12.33203125" style="24" customWidth="1"/>
    <col min="1288" max="1288" width="8.88671875" style="24"/>
    <col min="1289" max="1289" width="12.109375" style="24" customWidth="1"/>
    <col min="1290" max="1532" width="8.88671875" style="24"/>
    <col min="1533" max="1533" width="15.77734375" style="24" customWidth="1"/>
    <col min="1534" max="1534" width="12.77734375" style="24" customWidth="1"/>
    <col min="1535" max="1535" width="8.77734375" style="24" customWidth="1"/>
    <col min="1536" max="1536" width="13.77734375" style="24" customWidth="1"/>
    <col min="1537" max="1537" width="8.77734375" style="24" customWidth="1"/>
    <col min="1538" max="1538" width="12.77734375" style="24" customWidth="1"/>
    <col min="1539" max="1539" width="10.77734375" style="24" customWidth="1"/>
    <col min="1540" max="1540" width="8.77734375" style="24" customWidth="1"/>
    <col min="1541" max="1541" width="8.88671875" style="24"/>
    <col min="1542" max="1542" width="12.44140625" style="24" customWidth="1"/>
    <col min="1543" max="1543" width="12.33203125" style="24" customWidth="1"/>
    <col min="1544" max="1544" width="8.88671875" style="24"/>
    <col min="1545" max="1545" width="12.109375" style="24" customWidth="1"/>
    <col min="1546" max="1788" width="8.88671875" style="24"/>
    <col min="1789" max="1789" width="15.77734375" style="24" customWidth="1"/>
    <col min="1790" max="1790" width="12.77734375" style="24" customWidth="1"/>
    <col min="1791" max="1791" width="8.77734375" style="24" customWidth="1"/>
    <col min="1792" max="1792" width="13.77734375" style="24" customWidth="1"/>
    <col min="1793" max="1793" width="8.77734375" style="24" customWidth="1"/>
    <col min="1794" max="1794" width="12.77734375" style="24" customWidth="1"/>
    <col min="1795" max="1795" width="10.77734375" style="24" customWidth="1"/>
    <col min="1796" max="1796" width="8.77734375" style="24" customWidth="1"/>
    <col min="1797" max="1797" width="8.88671875" style="24"/>
    <col min="1798" max="1798" width="12.44140625" style="24" customWidth="1"/>
    <col min="1799" max="1799" width="12.33203125" style="24" customWidth="1"/>
    <col min="1800" max="1800" width="8.88671875" style="24"/>
    <col min="1801" max="1801" width="12.109375" style="24" customWidth="1"/>
    <col min="1802" max="2044" width="8.88671875" style="24"/>
    <col min="2045" max="2045" width="15.77734375" style="24" customWidth="1"/>
    <col min="2046" max="2046" width="12.77734375" style="24" customWidth="1"/>
    <col min="2047" max="2047" width="8.77734375" style="24" customWidth="1"/>
    <col min="2048" max="2048" width="13.77734375" style="24" customWidth="1"/>
    <col min="2049" max="2049" width="8.77734375" style="24" customWidth="1"/>
    <col min="2050" max="2050" width="12.77734375" style="24" customWidth="1"/>
    <col min="2051" max="2051" width="10.77734375" style="24" customWidth="1"/>
    <col min="2052" max="2052" width="8.77734375" style="24" customWidth="1"/>
    <col min="2053" max="2053" width="8.88671875" style="24"/>
    <col min="2054" max="2054" width="12.44140625" style="24" customWidth="1"/>
    <col min="2055" max="2055" width="12.33203125" style="24" customWidth="1"/>
    <col min="2056" max="2056" width="8.88671875" style="24"/>
    <col min="2057" max="2057" width="12.109375" style="24" customWidth="1"/>
    <col min="2058" max="2300" width="8.88671875" style="24"/>
    <col min="2301" max="2301" width="15.77734375" style="24" customWidth="1"/>
    <col min="2302" max="2302" width="12.77734375" style="24" customWidth="1"/>
    <col min="2303" max="2303" width="8.77734375" style="24" customWidth="1"/>
    <col min="2304" max="2304" width="13.77734375" style="24" customWidth="1"/>
    <col min="2305" max="2305" width="8.77734375" style="24" customWidth="1"/>
    <col min="2306" max="2306" width="12.77734375" style="24" customWidth="1"/>
    <col min="2307" max="2307" width="10.77734375" style="24" customWidth="1"/>
    <col min="2308" max="2308" width="8.77734375" style="24" customWidth="1"/>
    <col min="2309" max="2309" width="8.88671875" style="24"/>
    <col min="2310" max="2310" width="12.44140625" style="24" customWidth="1"/>
    <col min="2311" max="2311" width="12.33203125" style="24" customWidth="1"/>
    <col min="2312" max="2312" width="8.88671875" style="24"/>
    <col min="2313" max="2313" width="12.109375" style="24" customWidth="1"/>
    <col min="2314" max="2556" width="8.88671875" style="24"/>
    <col min="2557" max="2557" width="15.77734375" style="24" customWidth="1"/>
    <col min="2558" max="2558" width="12.77734375" style="24" customWidth="1"/>
    <col min="2559" max="2559" width="8.77734375" style="24" customWidth="1"/>
    <col min="2560" max="2560" width="13.77734375" style="24" customWidth="1"/>
    <col min="2561" max="2561" width="8.77734375" style="24" customWidth="1"/>
    <col min="2562" max="2562" width="12.77734375" style="24" customWidth="1"/>
    <col min="2563" max="2563" width="10.77734375" style="24" customWidth="1"/>
    <col min="2564" max="2564" width="8.77734375" style="24" customWidth="1"/>
    <col min="2565" max="2565" width="8.88671875" style="24"/>
    <col min="2566" max="2566" width="12.44140625" style="24" customWidth="1"/>
    <col min="2567" max="2567" width="12.33203125" style="24" customWidth="1"/>
    <col min="2568" max="2568" width="8.88671875" style="24"/>
    <col min="2569" max="2569" width="12.109375" style="24" customWidth="1"/>
    <col min="2570" max="2812" width="8.88671875" style="24"/>
    <col min="2813" max="2813" width="15.77734375" style="24" customWidth="1"/>
    <col min="2814" max="2814" width="12.77734375" style="24" customWidth="1"/>
    <col min="2815" max="2815" width="8.77734375" style="24" customWidth="1"/>
    <col min="2816" max="2816" width="13.77734375" style="24" customWidth="1"/>
    <col min="2817" max="2817" width="8.77734375" style="24" customWidth="1"/>
    <col min="2818" max="2818" width="12.77734375" style="24" customWidth="1"/>
    <col min="2819" max="2819" width="10.77734375" style="24" customWidth="1"/>
    <col min="2820" max="2820" width="8.77734375" style="24" customWidth="1"/>
    <col min="2821" max="2821" width="8.88671875" style="24"/>
    <col min="2822" max="2822" width="12.44140625" style="24" customWidth="1"/>
    <col min="2823" max="2823" width="12.33203125" style="24" customWidth="1"/>
    <col min="2824" max="2824" width="8.88671875" style="24"/>
    <col min="2825" max="2825" width="12.109375" style="24" customWidth="1"/>
    <col min="2826" max="3068" width="8.88671875" style="24"/>
    <col min="3069" max="3069" width="15.77734375" style="24" customWidth="1"/>
    <col min="3070" max="3070" width="12.77734375" style="24" customWidth="1"/>
    <col min="3071" max="3071" width="8.77734375" style="24" customWidth="1"/>
    <col min="3072" max="3072" width="13.77734375" style="24" customWidth="1"/>
    <col min="3073" max="3073" width="8.77734375" style="24" customWidth="1"/>
    <col min="3074" max="3074" width="12.77734375" style="24" customWidth="1"/>
    <col min="3075" max="3075" width="10.77734375" style="24" customWidth="1"/>
    <col min="3076" max="3076" width="8.77734375" style="24" customWidth="1"/>
    <col min="3077" max="3077" width="8.88671875" style="24"/>
    <col min="3078" max="3078" width="12.44140625" style="24" customWidth="1"/>
    <col min="3079" max="3079" width="12.33203125" style="24" customWidth="1"/>
    <col min="3080" max="3080" width="8.88671875" style="24"/>
    <col min="3081" max="3081" width="12.109375" style="24" customWidth="1"/>
    <col min="3082" max="3324" width="8.88671875" style="24"/>
    <col min="3325" max="3325" width="15.77734375" style="24" customWidth="1"/>
    <col min="3326" max="3326" width="12.77734375" style="24" customWidth="1"/>
    <col min="3327" max="3327" width="8.77734375" style="24" customWidth="1"/>
    <col min="3328" max="3328" width="13.77734375" style="24" customWidth="1"/>
    <col min="3329" max="3329" width="8.77734375" style="24" customWidth="1"/>
    <col min="3330" max="3330" width="12.77734375" style="24" customWidth="1"/>
    <col min="3331" max="3331" width="10.77734375" style="24" customWidth="1"/>
    <col min="3332" max="3332" width="8.77734375" style="24" customWidth="1"/>
    <col min="3333" max="3333" width="8.88671875" style="24"/>
    <col min="3334" max="3334" width="12.44140625" style="24" customWidth="1"/>
    <col min="3335" max="3335" width="12.33203125" style="24" customWidth="1"/>
    <col min="3336" max="3336" width="8.88671875" style="24"/>
    <col min="3337" max="3337" width="12.109375" style="24" customWidth="1"/>
    <col min="3338" max="3580" width="8.88671875" style="24"/>
    <col min="3581" max="3581" width="15.77734375" style="24" customWidth="1"/>
    <col min="3582" max="3582" width="12.77734375" style="24" customWidth="1"/>
    <col min="3583" max="3583" width="8.77734375" style="24" customWidth="1"/>
    <col min="3584" max="3584" width="13.77734375" style="24" customWidth="1"/>
    <col min="3585" max="3585" width="8.77734375" style="24" customWidth="1"/>
    <col min="3586" max="3586" width="12.77734375" style="24" customWidth="1"/>
    <col min="3587" max="3587" width="10.77734375" style="24" customWidth="1"/>
    <col min="3588" max="3588" width="8.77734375" style="24" customWidth="1"/>
    <col min="3589" max="3589" width="8.88671875" style="24"/>
    <col min="3590" max="3590" width="12.44140625" style="24" customWidth="1"/>
    <col min="3591" max="3591" width="12.33203125" style="24" customWidth="1"/>
    <col min="3592" max="3592" width="8.88671875" style="24"/>
    <col min="3593" max="3593" width="12.109375" style="24" customWidth="1"/>
    <col min="3594" max="3836" width="8.88671875" style="24"/>
    <col min="3837" max="3837" width="15.77734375" style="24" customWidth="1"/>
    <col min="3838" max="3838" width="12.77734375" style="24" customWidth="1"/>
    <col min="3839" max="3839" width="8.77734375" style="24" customWidth="1"/>
    <col min="3840" max="3840" width="13.77734375" style="24" customWidth="1"/>
    <col min="3841" max="3841" width="8.77734375" style="24" customWidth="1"/>
    <col min="3842" max="3842" width="12.77734375" style="24" customWidth="1"/>
    <col min="3843" max="3843" width="10.77734375" style="24" customWidth="1"/>
    <col min="3844" max="3844" width="8.77734375" style="24" customWidth="1"/>
    <col min="3845" max="3845" width="8.88671875" style="24"/>
    <col min="3846" max="3846" width="12.44140625" style="24" customWidth="1"/>
    <col min="3847" max="3847" width="12.33203125" style="24" customWidth="1"/>
    <col min="3848" max="3848" width="8.88671875" style="24"/>
    <col min="3849" max="3849" width="12.109375" style="24" customWidth="1"/>
    <col min="3850" max="4092" width="8.88671875" style="24"/>
    <col min="4093" max="4093" width="15.77734375" style="24" customWidth="1"/>
    <col min="4094" max="4094" width="12.77734375" style="24" customWidth="1"/>
    <col min="4095" max="4095" width="8.77734375" style="24" customWidth="1"/>
    <col min="4096" max="4096" width="13.77734375" style="24" customWidth="1"/>
    <col min="4097" max="4097" width="8.77734375" style="24" customWidth="1"/>
    <col min="4098" max="4098" width="12.77734375" style="24" customWidth="1"/>
    <col min="4099" max="4099" width="10.77734375" style="24" customWidth="1"/>
    <col min="4100" max="4100" width="8.77734375" style="24" customWidth="1"/>
    <col min="4101" max="4101" width="8.88671875" style="24"/>
    <col min="4102" max="4102" width="12.44140625" style="24" customWidth="1"/>
    <col min="4103" max="4103" width="12.33203125" style="24" customWidth="1"/>
    <col min="4104" max="4104" width="8.88671875" style="24"/>
    <col min="4105" max="4105" width="12.109375" style="24" customWidth="1"/>
    <col min="4106" max="4348" width="8.88671875" style="24"/>
    <col min="4349" max="4349" width="15.77734375" style="24" customWidth="1"/>
    <col min="4350" max="4350" width="12.77734375" style="24" customWidth="1"/>
    <col min="4351" max="4351" width="8.77734375" style="24" customWidth="1"/>
    <col min="4352" max="4352" width="13.77734375" style="24" customWidth="1"/>
    <col min="4353" max="4353" width="8.77734375" style="24" customWidth="1"/>
    <col min="4354" max="4354" width="12.77734375" style="24" customWidth="1"/>
    <col min="4355" max="4355" width="10.77734375" style="24" customWidth="1"/>
    <col min="4356" max="4356" width="8.77734375" style="24" customWidth="1"/>
    <col min="4357" max="4357" width="8.88671875" style="24"/>
    <col min="4358" max="4358" width="12.44140625" style="24" customWidth="1"/>
    <col min="4359" max="4359" width="12.33203125" style="24" customWidth="1"/>
    <col min="4360" max="4360" width="8.88671875" style="24"/>
    <col min="4361" max="4361" width="12.109375" style="24" customWidth="1"/>
    <col min="4362" max="4604" width="8.88671875" style="24"/>
    <col min="4605" max="4605" width="15.77734375" style="24" customWidth="1"/>
    <col min="4606" max="4606" width="12.77734375" style="24" customWidth="1"/>
    <col min="4607" max="4607" width="8.77734375" style="24" customWidth="1"/>
    <col min="4608" max="4608" width="13.77734375" style="24" customWidth="1"/>
    <col min="4609" max="4609" width="8.77734375" style="24" customWidth="1"/>
    <col min="4610" max="4610" width="12.77734375" style="24" customWidth="1"/>
    <col min="4611" max="4611" width="10.77734375" style="24" customWidth="1"/>
    <col min="4612" max="4612" width="8.77734375" style="24" customWidth="1"/>
    <col min="4613" max="4613" width="8.88671875" style="24"/>
    <col min="4614" max="4614" width="12.44140625" style="24" customWidth="1"/>
    <col min="4615" max="4615" width="12.33203125" style="24" customWidth="1"/>
    <col min="4616" max="4616" width="8.88671875" style="24"/>
    <col min="4617" max="4617" width="12.109375" style="24" customWidth="1"/>
    <col min="4618" max="4860" width="8.88671875" style="24"/>
    <col min="4861" max="4861" width="15.77734375" style="24" customWidth="1"/>
    <col min="4862" max="4862" width="12.77734375" style="24" customWidth="1"/>
    <col min="4863" max="4863" width="8.77734375" style="24" customWidth="1"/>
    <col min="4864" max="4864" width="13.77734375" style="24" customWidth="1"/>
    <col min="4865" max="4865" width="8.77734375" style="24" customWidth="1"/>
    <col min="4866" max="4866" width="12.77734375" style="24" customWidth="1"/>
    <col min="4867" max="4867" width="10.77734375" style="24" customWidth="1"/>
    <col min="4868" max="4868" width="8.77734375" style="24" customWidth="1"/>
    <col min="4869" max="4869" width="8.88671875" style="24"/>
    <col min="4870" max="4870" width="12.44140625" style="24" customWidth="1"/>
    <col min="4871" max="4871" width="12.33203125" style="24" customWidth="1"/>
    <col min="4872" max="4872" width="8.88671875" style="24"/>
    <col min="4873" max="4873" width="12.109375" style="24" customWidth="1"/>
    <col min="4874" max="5116" width="8.88671875" style="24"/>
    <col min="5117" max="5117" width="15.77734375" style="24" customWidth="1"/>
    <col min="5118" max="5118" width="12.77734375" style="24" customWidth="1"/>
    <col min="5119" max="5119" width="8.77734375" style="24" customWidth="1"/>
    <col min="5120" max="5120" width="13.77734375" style="24" customWidth="1"/>
    <col min="5121" max="5121" width="8.77734375" style="24" customWidth="1"/>
    <col min="5122" max="5122" width="12.77734375" style="24" customWidth="1"/>
    <col min="5123" max="5123" width="10.77734375" style="24" customWidth="1"/>
    <col min="5124" max="5124" width="8.77734375" style="24" customWidth="1"/>
    <col min="5125" max="5125" width="8.88671875" style="24"/>
    <col min="5126" max="5126" width="12.44140625" style="24" customWidth="1"/>
    <col min="5127" max="5127" width="12.33203125" style="24" customWidth="1"/>
    <col min="5128" max="5128" width="8.88671875" style="24"/>
    <col min="5129" max="5129" width="12.109375" style="24" customWidth="1"/>
    <col min="5130" max="5372" width="8.88671875" style="24"/>
    <col min="5373" max="5373" width="15.77734375" style="24" customWidth="1"/>
    <col min="5374" max="5374" width="12.77734375" style="24" customWidth="1"/>
    <col min="5375" max="5375" width="8.77734375" style="24" customWidth="1"/>
    <col min="5376" max="5376" width="13.77734375" style="24" customWidth="1"/>
    <col min="5377" max="5377" width="8.77734375" style="24" customWidth="1"/>
    <col min="5378" max="5378" width="12.77734375" style="24" customWidth="1"/>
    <col min="5379" max="5379" width="10.77734375" style="24" customWidth="1"/>
    <col min="5380" max="5380" width="8.77734375" style="24" customWidth="1"/>
    <col min="5381" max="5381" width="8.88671875" style="24"/>
    <col min="5382" max="5382" width="12.44140625" style="24" customWidth="1"/>
    <col min="5383" max="5383" width="12.33203125" style="24" customWidth="1"/>
    <col min="5384" max="5384" width="8.88671875" style="24"/>
    <col min="5385" max="5385" width="12.109375" style="24" customWidth="1"/>
    <col min="5386" max="5628" width="8.88671875" style="24"/>
    <col min="5629" max="5629" width="15.77734375" style="24" customWidth="1"/>
    <col min="5630" max="5630" width="12.77734375" style="24" customWidth="1"/>
    <col min="5631" max="5631" width="8.77734375" style="24" customWidth="1"/>
    <col min="5632" max="5632" width="13.77734375" style="24" customWidth="1"/>
    <col min="5633" max="5633" width="8.77734375" style="24" customWidth="1"/>
    <col min="5634" max="5634" width="12.77734375" style="24" customWidth="1"/>
    <col min="5635" max="5635" width="10.77734375" style="24" customWidth="1"/>
    <col min="5636" max="5636" width="8.77734375" style="24" customWidth="1"/>
    <col min="5637" max="5637" width="8.88671875" style="24"/>
    <col min="5638" max="5638" width="12.44140625" style="24" customWidth="1"/>
    <col min="5639" max="5639" width="12.33203125" style="24" customWidth="1"/>
    <col min="5640" max="5640" width="8.88671875" style="24"/>
    <col min="5641" max="5641" width="12.109375" style="24" customWidth="1"/>
    <col min="5642" max="5884" width="8.88671875" style="24"/>
    <col min="5885" max="5885" width="15.77734375" style="24" customWidth="1"/>
    <col min="5886" max="5886" width="12.77734375" style="24" customWidth="1"/>
    <col min="5887" max="5887" width="8.77734375" style="24" customWidth="1"/>
    <col min="5888" max="5888" width="13.77734375" style="24" customWidth="1"/>
    <col min="5889" max="5889" width="8.77734375" style="24" customWidth="1"/>
    <col min="5890" max="5890" width="12.77734375" style="24" customWidth="1"/>
    <col min="5891" max="5891" width="10.77734375" style="24" customWidth="1"/>
    <col min="5892" max="5892" width="8.77734375" style="24" customWidth="1"/>
    <col min="5893" max="5893" width="8.88671875" style="24"/>
    <col min="5894" max="5894" width="12.44140625" style="24" customWidth="1"/>
    <col min="5895" max="5895" width="12.33203125" style="24" customWidth="1"/>
    <col min="5896" max="5896" width="8.88671875" style="24"/>
    <col min="5897" max="5897" width="12.109375" style="24" customWidth="1"/>
    <col min="5898" max="6140" width="8.88671875" style="24"/>
    <col min="6141" max="6141" width="15.77734375" style="24" customWidth="1"/>
    <col min="6142" max="6142" width="12.77734375" style="24" customWidth="1"/>
    <col min="6143" max="6143" width="8.77734375" style="24" customWidth="1"/>
    <col min="6144" max="6144" width="13.77734375" style="24" customWidth="1"/>
    <col min="6145" max="6145" width="8.77734375" style="24" customWidth="1"/>
    <col min="6146" max="6146" width="12.77734375" style="24" customWidth="1"/>
    <col min="6147" max="6147" width="10.77734375" style="24" customWidth="1"/>
    <col min="6148" max="6148" width="8.77734375" style="24" customWidth="1"/>
    <col min="6149" max="6149" width="8.88671875" style="24"/>
    <col min="6150" max="6150" width="12.44140625" style="24" customWidth="1"/>
    <col min="6151" max="6151" width="12.33203125" style="24" customWidth="1"/>
    <col min="6152" max="6152" width="8.88671875" style="24"/>
    <col min="6153" max="6153" width="12.109375" style="24" customWidth="1"/>
    <col min="6154" max="6396" width="8.88671875" style="24"/>
    <col min="6397" max="6397" width="15.77734375" style="24" customWidth="1"/>
    <col min="6398" max="6398" width="12.77734375" style="24" customWidth="1"/>
    <col min="6399" max="6399" width="8.77734375" style="24" customWidth="1"/>
    <col min="6400" max="6400" width="13.77734375" style="24" customWidth="1"/>
    <col min="6401" max="6401" width="8.77734375" style="24" customWidth="1"/>
    <col min="6402" max="6402" width="12.77734375" style="24" customWidth="1"/>
    <col min="6403" max="6403" width="10.77734375" style="24" customWidth="1"/>
    <col min="6404" max="6404" width="8.77734375" style="24" customWidth="1"/>
    <col min="6405" max="6405" width="8.88671875" style="24"/>
    <col min="6406" max="6406" width="12.44140625" style="24" customWidth="1"/>
    <col min="6407" max="6407" width="12.33203125" style="24" customWidth="1"/>
    <col min="6408" max="6408" width="8.88671875" style="24"/>
    <col min="6409" max="6409" width="12.109375" style="24" customWidth="1"/>
    <col min="6410" max="6652" width="8.88671875" style="24"/>
    <col min="6653" max="6653" width="15.77734375" style="24" customWidth="1"/>
    <col min="6654" max="6654" width="12.77734375" style="24" customWidth="1"/>
    <col min="6655" max="6655" width="8.77734375" style="24" customWidth="1"/>
    <col min="6656" max="6656" width="13.77734375" style="24" customWidth="1"/>
    <col min="6657" max="6657" width="8.77734375" style="24" customWidth="1"/>
    <col min="6658" max="6658" width="12.77734375" style="24" customWidth="1"/>
    <col min="6659" max="6659" width="10.77734375" style="24" customWidth="1"/>
    <col min="6660" max="6660" width="8.77734375" style="24" customWidth="1"/>
    <col min="6661" max="6661" width="8.88671875" style="24"/>
    <col min="6662" max="6662" width="12.44140625" style="24" customWidth="1"/>
    <col min="6663" max="6663" width="12.33203125" style="24" customWidth="1"/>
    <col min="6664" max="6664" width="8.88671875" style="24"/>
    <col min="6665" max="6665" width="12.109375" style="24" customWidth="1"/>
    <col min="6666" max="6908" width="8.88671875" style="24"/>
    <col min="6909" max="6909" width="15.77734375" style="24" customWidth="1"/>
    <col min="6910" max="6910" width="12.77734375" style="24" customWidth="1"/>
    <col min="6911" max="6911" width="8.77734375" style="24" customWidth="1"/>
    <col min="6912" max="6912" width="13.77734375" style="24" customWidth="1"/>
    <col min="6913" max="6913" width="8.77734375" style="24" customWidth="1"/>
    <col min="6914" max="6914" width="12.77734375" style="24" customWidth="1"/>
    <col min="6915" max="6915" width="10.77734375" style="24" customWidth="1"/>
    <col min="6916" max="6916" width="8.77734375" style="24" customWidth="1"/>
    <col min="6917" max="6917" width="8.88671875" style="24"/>
    <col min="6918" max="6918" width="12.44140625" style="24" customWidth="1"/>
    <col min="6919" max="6919" width="12.33203125" style="24" customWidth="1"/>
    <col min="6920" max="6920" width="8.88671875" style="24"/>
    <col min="6921" max="6921" width="12.109375" style="24" customWidth="1"/>
    <col min="6922" max="7164" width="8.88671875" style="24"/>
    <col min="7165" max="7165" width="15.77734375" style="24" customWidth="1"/>
    <col min="7166" max="7166" width="12.77734375" style="24" customWidth="1"/>
    <col min="7167" max="7167" width="8.77734375" style="24" customWidth="1"/>
    <col min="7168" max="7168" width="13.77734375" style="24" customWidth="1"/>
    <col min="7169" max="7169" width="8.77734375" style="24" customWidth="1"/>
    <col min="7170" max="7170" width="12.77734375" style="24" customWidth="1"/>
    <col min="7171" max="7171" width="10.77734375" style="24" customWidth="1"/>
    <col min="7172" max="7172" width="8.77734375" style="24" customWidth="1"/>
    <col min="7173" max="7173" width="8.88671875" style="24"/>
    <col min="7174" max="7174" width="12.44140625" style="24" customWidth="1"/>
    <col min="7175" max="7175" width="12.33203125" style="24" customWidth="1"/>
    <col min="7176" max="7176" width="8.88671875" style="24"/>
    <col min="7177" max="7177" width="12.109375" style="24" customWidth="1"/>
    <col min="7178" max="7420" width="8.88671875" style="24"/>
    <col min="7421" max="7421" width="15.77734375" style="24" customWidth="1"/>
    <col min="7422" max="7422" width="12.77734375" style="24" customWidth="1"/>
    <col min="7423" max="7423" width="8.77734375" style="24" customWidth="1"/>
    <col min="7424" max="7424" width="13.77734375" style="24" customWidth="1"/>
    <col min="7425" max="7425" width="8.77734375" style="24" customWidth="1"/>
    <col min="7426" max="7426" width="12.77734375" style="24" customWidth="1"/>
    <col min="7427" max="7427" width="10.77734375" style="24" customWidth="1"/>
    <col min="7428" max="7428" width="8.77734375" style="24" customWidth="1"/>
    <col min="7429" max="7429" width="8.88671875" style="24"/>
    <col min="7430" max="7430" width="12.44140625" style="24" customWidth="1"/>
    <col min="7431" max="7431" width="12.33203125" style="24" customWidth="1"/>
    <col min="7432" max="7432" width="8.88671875" style="24"/>
    <col min="7433" max="7433" width="12.109375" style="24" customWidth="1"/>
    <col min="7434" max="7676" width="8.88671875" style="24"/>
    <col min="7677" max="7677" width="15.77734375" style="24" customWidth="1"/>
    <col min="7678" max="7678" width="12.77734375" style="24" customWidth="1"/>
    <col min="7679" max="7679" width="8.77734375" style="24" customWidth="1"/>
    <col min="7680" max="7680" width="13.77734375" style="24" customWidth="1"/>
    <col min="7681" max="7681" width="8.77734375" style="24" customWidth="1"/>
    <col min="7682" max="7682" width="12.77734375" style="24" customWidth="1"/>
    <col min="7683" max="7683" width="10.77734375" style="24" customWidth="1"/>
    <col min="7684" max="7684" width="8.77734375" style="24" customWidth="1"/>
    <col min="7685" max="7685" width="8.88671875" style="24"/>
    <col min="7686" max="7686" width="12.44140625" style="24" customWidth="1"/>
    <col min="7687" max="7687" width="12.33203125" style="24" customWidth="1"/>
    <col min="7688" max="7688" width="8.88671875" style="24"/>
    <col min="7689" max="7689" width="12.109375" style="24" customWidth="1"/>
    <col min="7690" max="7932" width="8.88671875" style="24"/>
    <col min="7933" max="7933" width="15.77734375" style="24" customWidth="1"/>
    <col min="7934" max="7934" width="12.77734375" style="24" customWidth="1"/>
    <col min="7935" max="7935" width="8.77734375" style="24" customWidth="1"/>
    <col min="7936" max="7936" width="13.77734375" style="24" customWidth="1"/>
    <col min="7937" max="7937" width="8.77734375" style="24" customWidth="1"/>
    <col min="7938" max="7938" width="12.77734375" style="24" customWidth="1"/>
    <col min="7939" max="7939" width="10.77734375" style="24" customWidth="1"/>
    <col min="7940" max="7940" width="8.77734375" style="24" customWidth="1"/>
    <col min="7941" max="7941" width="8.88671875" style="24"/>
    <col min="7942" max="7942" width="12.44140625" style="24" customWidth="1"/>
    <col min="7943" max="7943" width="12.33203125" style="24" customWidth="1"/>
    <col min="7944" max="7944" width="8.88671875" style="24"/>
    <col min="7945" max="7945" width="12.109375" style="24" customWidth="1"/>
    <col min="7946" max="8188" width="8.88671875" style="24"/>
    <col min="8189" max="8189" width="15.77734375" style="24" customWidth="1"/>
    <col min="8190" max="8190" width="12.77734375" style="24" customWidth="1"/>
    <col min="8191" max="8191" width="8.77734375" style="24" customWidth="1"/>
    <col min="8192" max="8192" width="13.77734375" style="24" customWidth="1"/>
    <col min="8193" max="8193" width="8.77734375" style="24" customWidth="1"/>
    <col min="8194" max="8194" width="12.77734375" style="24" customWidth="1"/>
    <col min="8195" max="8195" width="10.77734375" style="24" customWidth="1"/>
    <col min="8196" max="8196" width="8.77734375" style="24" customWidth="1"/>
    <col min="8197" max="8197" width="8.88671875" style="24"/>
    <col min="8198" max="8198" width="12.44140625" style="24" customWidth="1"/>
    <col min="8199" max="8199" width="12.33203125" style="24" customWidth="1"/>
    <col min="8200" max="8200" width="8.88671875" style="24"/>
    <col min="8201" max="8201" width="12.109375" style="24" customWidth="1"/>
    <col min="8202" max="8444" width="8.88671875" style="24"/>
    <col min="8445" max="8445" width="15.77734375" style="24" customWidth="1"/>
    <col min="8446" max="8446" width="12.77734375" style="24" customWidth="1"/>
    <col min="8447" max="8447" width="8.77734375" style="24" customWidth="1"/>
    <col min="8448" max="8448" width="13.77734375" style="24" customWidth="1"/>
    <col min="8449" max="8449" width="8.77734375" style="24" customWidth="1"/>
    <col min="8450" max="8450" width="12.77734375" style="24" customWidth="1"/>
    <col min="8451" max="8451" width="10.77734375" style="24" customWidth="1"/>
    <col min="8452" max="8452" width="8.77734375" style="24" customWidth="1"/>
    <col min="8453" max="8453" width="8.88671875" style="24"/>
    <col min="8454" max="8454" width="12.44140625" style="24" customWidth="1"/>
    <col min="8455" max="8455" width="12.33203125" style="24" customWidth="1"/>
    <col min="8456" max="8456" width="8.88671875" style="24"/>
    <col min="8457" max="8457" width="12.109375" style="24" customWidth="1"/>
    <col min="8458" max="8700" width="8.88671875" style="24"/>
    <col min="8701" max="8701" width="15.77734375" style="24" customWidth="1"/>
    <col min="8702" max="8702" width="12.77734375" style="24" customWidth="1"/>
    <col min="8703" max="8703" width="8.77734375" style="24" customWidth="1"/>
    <col min="8704" max="8704" width="13.77734375" style="24" customWidth="1"/>
    <col min="8705" max="8705" width="8.77734375" style="24" customWidth="1"/>
    <col min="8706" max="8706" width="12.77734375" style="24" customWidth="1"/>
    <col min="8707" max="8707" width="10.77734375" style="24" customWidth="1"/>
    <col min="8708" max="8708" width="8.77734375" style="24" customWidth="1"/>
    <col min="8709" max="8709" width="8.88671875" style="24"/>
    <col min="8710" max="8710" width="12.44140625" style="24" customWidth="1"/>
    <col min="8711" max="8711" width="12.33203125" style="24" customWidth="1"/>
    <col min="8712" max="8712" width="8.88671875" style="24"/>
    <col min="8713" max="8713" width="12.109375" style="24" customWidth="1"/>
    <col min="8714" max="8956" width="8.88671875" style="24"/>
    <col min="8957" max="8957" width="15.77734375" style="24" customWidth="1"/>
    <col min="8958" max="8958" width="12.77734375" style="24" customWidth="1"/>
    <col min="8959" max="8959" width="8.77734375" style="24" customWidth="1"/>
    <col min="8960" max="8960" width="13.77734375" style="24" customWidth="1"/>
    <col min="8961" max="8961" width="8.77734375" style="24" customWidth="1"/>
    <col min="8962" max="8962" width="12.77734375" style="24" customWidth="1"/>
    <col min="8963" max="8963" width="10.77734375" style="24" customWidth="1"/>
    <col min="8964" max="8964" width="8.77734375" style="24" customWidth="1"/>
    <col min="8965" max="8965" width="8.88671875" style="24"/>
    <col min="8966" max="8966" width="12.44140625" style="24" customWidth="1"/>
    <col min="8967" max="8967" width="12.33203125" style="24" customWidth="1"/>
    <col min="8968" max="8968" width="8.88671875" style="24"/>
    <col min="8969" max="8969" width="12.109375" style="24" customWidth="1"/>
    <col min="8970" max="9212" width="8.88671875" style="24"/>
    <col min="9213" max="9213" width="15.77734375" style="24" customWidth="1"/>
    <col min="9214" max="9214" width="12.77734375" style="24" customWidth="1"/>
    <col min="9215" max="9215" width="8.77734375" style="24" customWidth="1"/>
    <col min="9216" max="9216" width="13.77734375" style="24" customWidth="1"/>
    <col min="9217" max="9217" width="8.77734375" style="24" customWidth="1"/>
    <col min="9218" max="9218" width="12.77734375" style="24" customWidth="1"/>
    <col min="9219" max="9219" width="10.77734375" style="24" customWidth="1"/>
    <col min="9220" max="9220" width="8.77734375" style="24" customWidth="1"/>
    <col min="9221" max="9221" width="8.88671875" style="24"/>
    <col min="9222" max="9222" width="12.44140625" style="24" customWidth="1"/>
    <col min="9223" max="9223" width="12.33203125" style="24" customWidth="1"/>
    <col min="9224" max="9224" width="8.88671875" style="24"/>
    <col min="9225" max="9225" width="12.109375" style="24" customWidth="1"/>
    <col min="9226" max="9468" width="8.88671875" style="24"/>
    <col min="9469" max="9469" width="15.77734375" style="24" customWidth="1"/>
    <col min="9470" max="9470" width="12.77734375" style="24" customWidth="1"/>
    <col min="9471" max="9471" width="8.77734375" style="24" customWidth="1"/>
    <col min="9472" max="9472" width="13.77734375" style="24" customWidth="1"/>
    <col min="9473" max="9473" width="8.77734375" style="24" customWidth="1"/>
    <col min="9474" max="9474" width="12.77734375" style="24" customWidth="1"/>
    <col min="9475" max="9475" width="10.77734375" style="24" customWidth="1"/>
    <col min="9476" max="9476" width="8.77734375" style="24" customWidth="1"/>
    <col min="9477" max="9477" width="8.88671875" style="24"/>
    <col min="9478" max="9478" width="12.44140625" style="24" customWidth="1"/>
    <col min="9479" max="9479" width="12.33203125" style="24" customWidth="1"/>
    <col min="9480" max="9480" width="8.88671875" style="24"/>
    <col min="9481" max="9481" width="12.109375" style="24" customWidth="1"/>
    <col min="9482" max="9724" width="8.88671875" style="24"/>
    <col min="9725" max="9725" width="15.77734375" style="24" customWidth="1"/>
    <col min="9726" max="9726" width="12.77734375" style="24" customWidth="1"/>
    <col min="9727" max="9727" width="8.77734375" style="24" customWidth="1"/>
    <col min="9728" max="9728" width="13.77734375" style="24" customWidth="1"/>
    <col min="9729" max="9729" width="8.77734375" style="24" customWidth="1"/>
    <col min="9730" max="9730" width="12.77734375" style="24" customWidth="1"/>
    <col min="9731" max="9731" width="10.77734375" style="24" customWidth="1"/>
    <col min="9732" max="9732" width="8.77734375" style="24" customWidth="1"/>
    <col min="9733" max="9733" width="8.88671875" style="24"/>
    <col min="9734" max="9734" width="12.44140625" style="24" customWidth="1"/>
    <col min="9735" max="9735" width="12.33203125" style="24" customWidth="1"/>
    <col min="9736" max="9736" width="8.88671875" style="24"/>
    <col min="9737" max="9737" width="12.109375" style="24" customWidth="1"/>
    <col min="9738" max="9980" width="8.88671875" style="24"/>
    <col min="9981" max="9981" width="15.77734375" style="24" customWidth="1"/>
    <col min="9982" max="9982" width="12.77734375" style="24" customWidth="1"/>
    <col min="9983" max="9983" width="8.77734375" style="24" customWidth="1"/>
    <col min="9984" max="9984" width="13.77734375" style="24" customWidth="1"/>
    <col min="9985" max="9985" width="8.77734375" style="24" customWidth="1"/>
    <col min="9986" max="9986" width="12.77734375" style="24" customWidth="1"/>
    <col min="9987" max="9987" width="10.77734375" style="24" customWidth="1"/>
    <col min="9988" max="9988" width="8.77734375" style="24" customWidth="1"/>
    <col min="9989" max="9989" width="8.88671875" style="24"/>
    <col min="9990" max="9990" width="12.44140625" style="24" customWidth="1"/>
    <col min="9991" max="9991" width="12.33203125" style="24" customWidth="1"/>
    <col min="9992" max="9992" width="8.88671875" style="24"/>
    <col min="9993" max="9993" width="12.109375" style="24" customWidth="1"/>
    <col min="9994" max="10236" width="8.88671875" style="24"/>
    <col min="10237" max="10237" width="15.77734375" style="24" customWidth="1"/>
    <col min="10238" max="10238" width="12.77734375" style="24" customWidth="1"/>
    <col min="10239" max="10239" width="8.77734375" style="24" customWidth="1"/>
    <col min="10240" max="10240" width="13.77734375" style="24" customWidth="1"/>
    <col min="10241" max="10241" width="8.77734375" style="24" customWidth="1"/>
    <col min="10242" max="10242" width="12.77734375" style="24" customWidth="1"/>
    <col min="10243" max="10243" width="10.77734375" style="24" customWidth="1"/>
    <col min="10244" max="10244" width="8.77734375" style="24" customWidth="1"/>
    <col min="10245" max="10245" width="8.88671875" style="24"/>
    <col min="10246" max="10246" width="12.44140625" style="24" customWidth="1"/>
    <col min="10247" max="10247" width="12.33203125" style="24" customWidth="1"/>
    <col min="10248" max="10248" width="8.88671875" style="24"/>
    <col min="10249" max="10249" width="12.109375" style="24" customWidth="1"/>
    <col min="10250" max="10492" width="8.88671875" style="24"/>
    <col min="10493" max="10493" width="15.77734375" style="24" customWidth="1"/>
    <col min="10494" max="10494" width="12.77734375" style="24" customWidth="1"/>
    <col min="10495" max="10495" width="8.77734375" style="24" customWidth="1"/>
    <col min="10496" max="10496" width="13.77734375" style="24" customWidth="1"/>
    <col min="10497" max="10497" width="8.77734375" style="24" customWidth="1"/>
    <col min="10498" max="10498" width="12.77734375" style="24" customWidth="1"/>
    <col min="10499" max="10499" width="10.77734375" style="24" customWidth="1"/>
    <col min="10500" max="10500" width="8.77734375" style="24" customWidth="1"/>
    <col min="10501" max="10501" width="8.88671875" style="24"/>
    <col min="10502" max="10502" width="12.44140625" style="24" customWidth="1"/>
    <col min="10503" max="10503" width="12.33203125" style="24" customWidth="1"/>
    <col min="10504" max="10504" width="8.88671875" style="24"/>
    <col min="10505" max="10505" width="12.109375" style="24" customWidth="1"/>
    <col min="10506" max="10748" width="8.88671875" style="24"/>
    <col min="10749" max="10749" width="15.77734375" style="24" customWidth="1"/>
    <col min="10750" max="10750" width="12.77734375" style="24" customWidth="1"/>
    <col min="10751" max="10751" width="8.77734375" style="24" customWidth="1"/>
    <col min="10752" max="10752" width="13.77734375" style="24" customWidth="1"/>
    <col min="10753" max="10753" width="8.77734375" style="24" customWidth="1"/>
    <col min="10754" max="10754" width="12.77734375" style="24" customWidth="1"/>
    <col min="10755" max="10755" width="10.77734375" style="24" customWidth="1"/>
    <col min="10756" max="10756" width="8.77734375" style="24" customWidth="1"/>
    <col min="10757" max="10757" width="8.88671875" style="24"/>
    <col min="10758" max="10758" width="12.44140625" style="24" customWidth="1"/>
    <col min="10759" max="10759" width="12.33203125" style="24" customWidth="1"/>
    <col min="10760" max="10760" width="8.88671875" style="24"/>
    <col min="10761" max="10761" width="12.109375" style="24" customWidth="1"/>
    <col min="10762" max="11004" width="8.88671875" style="24"/>
    <col min="11005" max="11005" width="15.77734375" style="24" customWidth="1"/>
    <col min="11006" max="11006" width="12.77734375" style="24" customWidth="1"/>
    <col min="11007" max="11007" width="8.77734375" style="24" customWidth="1"/>
    <col min="11008" max="11008" width="13.77734375" style="24" customWidth="1"/>
    <col min="11009" max="11009" width="8.77734375" style="24" customWidth="1"/>
    <col min="11010" max="11010" width="12.77734375" style="24" customWidth="1"/>
    <col min="11011" max="11011" width="10.77734375" style="24" customWidth="1"/>
    <col min="11012" max="11012" width="8.77734375" style="24" customWidth="1"/>
    <col min="11013" max="11013" width="8.88671875" style="24"/>
    <col min="11014" max="11014" width="12.44140625" style="24" customWidth="1"/>
    <col min="11015" max="11015" width="12.33203125" style="24" customWidth="1"/>
    <col min="11016" max="11016" width="8.88671875" style="24"/>
    <col min="11017" max="11017" width="12.109375" style="24" customWidth="1"/>
    <col min="11018" max="11260" width="8.88671875" style="24"/>
    <col min="11261" max="11261" width="15.77734375" style="24" customWidth="1"/>
    <col min="11262" max="11262" width="12.77734375" style="24" customWidth="1"/>
    <col min="11263" max="11263" width="8.77734375" style="24" customWidth="1"/>
    <col min="11264" max="11264" width="13.77734375" style="24" customWidth="1"/>
    <col min="11265" max="11265" width="8.77734375" style="24" customWidth="1"/>
    <col min="11266" max="11266" width="12.77734375" style="24" customWidth="1"/>
    <col min="11267" max="11267" width="10.77734375" style="24" customWidth="1"/>
    <col min="11268" max="11268" width="8.77734375" style="24" customWidth="1"/>
    <col min="11269" max="11269" width="8.88671875" style="24"/>
    <col min="11270" max="11270" width="12.44140625" style="24" customWidth="1"/>
    <col min="11271" max="11271" width="12.33203125" style="24" customWidth="1"/>
    <col min="11272" max="11272" width="8.88671875" style="24"/>
    <col min="11273" max="11273" width="12.109375" style="24" customWidth="1"/>
    <col min="11274" max="11516" width="8.88671875" style="24"/>
    <col min="11517" max="11517" width="15.77734375" style="24" customWidth="1"/>
    <col min="11518" max="11518" width="12.77734375" style="24" customWidth="1"/>
    <col min="11519" max="11519" width="8.77734375" style="24" customWidth="1"/>
    <col min="11520" max="11520" width="13.77734375" style="24" customWidth="1"/>
    <col min="11521" max="11521" width="8.77734375" style="24" customWidth="1"/>
    <col min="11522" max="11522" width="12.77734375" style="24" customWidth="1"/>
    <col min="11523" max="11523" width="10.77734375" style="24" customWidth="1"/>
    <col min="11524" max="11524" width="8.77734375" style="24" customWidth="1"/>
    <col min="11525" max="11525" width="8.88671875" style="24"/>
    <col min="11526" max="11526" width="12.44140625" style="24" customWidth="1"/>
    <col min="11527" max="11527" width="12.33203125" style="24" customWidth="1"/>
    <col min="11528" max="11528" width="8.88671875" style="24"/>
    <col min="11529" max="11529" width="12.109375" style="24" customWidth="1"/>
    <col min="11530" max="11772" width="8.88671875" style="24"/>
    <col min="11773" max="11773" width="15.77734375" style="24" customWidth="1"/>
    <col min="11774" max="11774" width="12.77734375" style="24" customWidth="1"/>
    <col min="11775" max="11775" width="8.77734375" style="24" customWidth="1"/>
    <col min="11776" max="11776" width="13.77734375" style="24" customWidth="1"/>
    <col min="11777" max="11777" width="8.77734375" style="24" customWidth="1"/>
    <col min="11778" max="11778" width="12.77734375" style="24" customWidth="1"/>
    <col min="11779" max="11779" width="10.77734375" style="24" customWidth="1"/>
    <col min="11780" max="11780" width="8.77734375" style="24" customWidth="1"/>
    <col min="11781" max="11781" width="8.88671875" style="24"/>
    <col min="11782" max="11782" width="12.44140625" style="24" customWidth="1"/>
    <col min="11783" max="11783" width="12.33203125" style="24" customWidth="1"/>
    <col min="11784" max="11784" width="8.88671875" style="24"/>
    <col min="11785" max="11785" width="12.109375" style="24" customWidth="1"/>
    <col min="11786" max="12028" width="8.88671875" style="24"/>
    <col min="12029" max="12029" width="15.77734375" style="24" customWidth="1"/>
    <col min="12030" max="12030" width="12.77734375" style="24" customWidth="1"/>
    <col min="12031" max="12031" width="8.77734375" style="24" customWidth="1"/>
    <col min="12032" max="12032" width="13.77734375" style="24" customWidth="1"/>
    <col min="12033" max="12033" width="8.77734375" style="24" customWidth="1"/>
    <col min="12034" max="12034" width="12.77734375" style="24" customWidth="1"/>
    <col min="12035" max="12035" width="10.77734375" style="24" customWidth="1"/>
    <col min="12036" max="12036" width="8.77734375" style="24" customWidth="1"/>
    <col min="12037" max="12037" width="8.88671875" style="24"/>
    <col min="12038" max="12038" width="12.44140625" style="24" customWidth="1"/>
    <col min="12039" max="12039" width="12.33203125" style="24" customWidth="1"/>
    <col min="12040" max="12040" width="8.88671875" style="24"/>
    <col min="12041" max="12041" width="12.109375" style="24" customWidth="1"/>
    <col min="12042" max="12284" width="8.88671875" style="24"/>
    <col min="12285" max="12285" width="15.77734375" style="24" customWidth="1"/>
    <col min="12286" max="12286" width="12.77734375" style="24" customWidth="1"/>
    <col min="12287" max="12287" width="8.77734375" style="24" customWidth="1"/>
    <col min="12288" max="12288" width="13.77734375" style="24" customWidth="1"/>
    <col min="12289" max="12289" width="8.77734375" style="24" customWidth="1"/>
    <col min="12290" max="12290" width="12.77734375" style="24" customWidth="1"/>
    <col min="12291" max="12291" width="10.77734375" style="24" customWidth="1"/>
    <col min="12292" max="12292" width="8.77734375" style="24" customWidth="1"/>
    <col min="12293" max="12293" width="8.88671875" style="24"/>
    <col min="12294" max="12294" width="12.44140625" style="24" customWidth="1"/>
    <col min="12295" max="12295" width="12.33203125" style="24" customWidth="1"/>
    <col min="12296" max="12296" width="8.88671875" style="24"/>
    <col min="12297" max="12297" width="12.109375" style="24" customWidth="1"/>
    <col min="12298" max="12540" width="8.88671875" style="24"/>
    <col min="12541" max="12541" width="15.77734375" style="24" customWidth="1"/>
    <col min="12542" max="12542" width="12.77734375" style="24" customWidth="1"/>
    <col min="12543" max="12543" width="8.77734375" style="24" customWidth="1"/>
    <col min="12544" max="12544" width="13.77734375" style="24" customWidth="1"/>
    <col min="12545" max="12545" width="8.77734375" style="24" customWidth="1"/>
    <col min="12546" max="12546" width="12.77734375" style="24" customWidth="1"/>
    <col min="12547" max="12547" width="10.77734375" style="24" customWidth="1"/>
    <col min="12548" max="12548" width="8.77734375" style="24" customWidth="1"/>
    <col min="12549" max="12549" width="8.88671875" style="24"/>
    <col min="12550" max="12550" width="12.44140625" style="24" customWidth="1"/>
    <col min="12551" max="12551" width="12.33203125" style="24" customWidth="1"/>
    <col min="12552" max="12552" width="8.88671875" style="24"/>
    <col min="12553" max="12553" width="12.109375" style="24" customWidth="1"/>
    <col min="12554" max="12796" width="8.88671875" style="24"/>
    <col min="12797" max="12797" width="15.77734375" style="24" customWidth="1"/>
    <col min="12798" max="12798" width="12.77734375" style="24" customWidth="1"/>
    <col min="12799" max="12799" width="8.77734375" style="24" customWidth="1"/>
    <col min="12800" max="12800" width="13.77734375" style="24" customWidth="1"/>
    <col min="12801" max="12801" width="8.77734375" style="24" customWidth="1"/>
    <col min="12802" max="12802" width="12.77734375" style="24" customWidth="1"/>
    <col min="12803" max="12803" width="10.77734375" style="24" customWidth="1"/>
    <col min="12804" max="12804" width="8.77734375" style="24" customWidth="1"/>
    <col min="12805" max="12805" width="8.88671875" style="24"/>
    <col min="12806" max="12806" width="12.44140625" style="24" customWidth="1"/>
    <col min="12807" max="12807" width="12.33203125" style="24" customWidth="1"/>
    <col min="12808" max="12808" width="8.88671875" style="24"/>
    <col min="12809" max="12809" width="12.109375" style="24" customWidth="1"/>
    <col min="12810" max="13052" width="8.88671875" style="24"/>
    <col min="13053" max="13053" width="15.77734375" style="24" customWidth="1"/>
    <col min="13054" max="13054" width="12.77734375" style="24" customWidth="1"/>
    <col min="13055" max="13055" width="8.77734375" style="24" customWidth="1"/>
    <col min="13056" max="13056" width="13.77734375" style="24" customWidth="1"/>
    <col min="13057" max="13057" width="8.77734375" style="24" customWidth="1"/>
    <col min="13058" max="13058" width="12.77734375" style="24" customWidth="1"/>
    <col min="13059" max="13059" width="10.77734375" style="24" customWidth="1"/>
    <col min="13060" max="13060" width="8.77734375" style="24" customWidth="1"/>
    <col min="13061" max="13061" width="8.88671875" style="24"/>
    <col min="13062" max="13062" width="12.44140625" style="24" customWidth="1"/>
    <col min="13063" max="13063" width="12.33203125" style="24" customWidth="1"/>
    <col min="13064" max="13064" width="8.88671875" style="24"/>
    <col min="13065" max="13065" width="12.109375" style="24" customWidth="1"/>
    <col min="13066" max="13308" width="8.88671875" style="24"/>
    <col min="13309" max="13309" width="15.77734375" style="24" customWidth="1"/>
    <col min="13310" max="13310" width="12.77734375" style="24" customWidth="1"/>
    <col min="13311" max="13311" width="8.77734375" style="24" customWidth="1"/>
    <col min="13312" max="13312" width="13.77734375" style="24" customWidth="1"/>
    <col min="13313" max="13313" width="8.77734375" style="24" customWidth="1"/>
    <col min="13314" max="13314" width="12.77734375" style="24" customWidth="1"/>
    <col min="13315" max="13315" width="10.77734375" style="24" customWidth="1"/>
    <col min="13316" max="13316" width="8.77734375" style="24" customWidth="1"/>
    <col min="13317" max="13317" width="8.88671875" style="24"/>
    <col min="13318" max="13318" width="12.44140625" style="24" customWidth="1"/>
    <col min="13319" max="13319" width="12.33203125" style="24" customWidth="1"/>
    <col min="13320" max="13320" width="8.88671875" style="24"/>
    <col min="13321" max="13321" width="12.109375" style="24" customWidth="1"/>
    <col min="13322" max="13564" width="8.88671875" style="24"/>
    <col min="13565" max="13565" width="15.77734375" style="24" customWidth="1"/>
    <col min="13566" max="13566" width="12.77734375" style="24" customWidth="1"/>
    <col min="13567" max="13567" width="8.77734375" style="24" customWidth="1"/>
    <col min="13568" max="13568" width="13.77734375" style="24" customWidth="1"/>
    <col min="13569" max="13569" width="8.77734375" style="24" customWidth="1"/>
    <col min="13570" max="13570" width="12.77734375" style="24" customWidth="1"/>
    <col min="13571" max="13571" width="10.77734375" style="24" customWidth="1"/>
    <col min="13572" max="13572" width="8.77734375" style="24" customWidth="1"/>
    <col min="13573" max="13573" width="8.88671875" style="24"/>
    <col min="13574" max="13574" width="12.44140625" style="24" customWidth="1"/>
    <col min="13575" max="13575" width="12.33203125" style="24" customWidth="1"/>
    <col min="13576" max="13576" width="8.88671875" style="24"/>
    <col min="13577" max="13577" width="12.109375" style="24" customWidth="1"/>
    <col min="13578" max="13820" width="8.88671875" style="24"/>
    <col min="13821" max="13821" width="15.77734375" style="24" customWidth="1"/>
    <col min="13822" max="13822" width="12.77734375" style="24" customWidth="1"/>
    <col min="13823" max="13823" width="8.77734375" style="24" customWidth="1"/>
    <col min="13824" max="13824" width="13.77734375" style="24" customWidth="1"/>
    <col min="13825" max="13825" width="8.77734375" style="24" customWidth="1"/>
    <col min="13826" max="13826" width="12.77734375" style="24" customWidth="1"/>
    <col min="13827" max="13827" width="10.77734375" style="24" customWidth="1"/>
    <col min="13828" max="13828" width="8.77734375" style="24" customWidth="1"/>
    <col min="13829" max="13829" width="8.88671875" style="24"/>
    <col min="13830" max="13830" width="12.44140625" style="24" customWidth="1"/>
    <col min="13831" max="13831" width="12.33203125" style="24" customWidth="1"/>
    <col min="13832" max="13832" width="8.88671875" style="24"/>
    <col min="13833" max="13833" width="12.109375" style="24" customWidth="1"/>
    <col min="13834" max="14076" width="8.88671875" style="24"/>
    <col min="14077" max="14077" width="15.77734375" style="24" customWidth="1"/>
    <col min="14078" max="14078" width="12.77734375" style="24" customWidth="1"/>
    <col min="14079" max="14079" width="8.77734375" style="24" customWidth="1"/>
    <col min="14080" max="14080" width="13.77734375" style="24" customWidth="1"/>
    <col min="14081" max="14081" width="8.77734375" style="24" customWidth="1"/>
    <col min="14082" max="14082" width="12.77734375" style="24" customWidth="1"/>
    <col min="14083" max="14083" width="10.77734375" style="24" customWidth="1"/>
    <col min="14084" max="14084" width="8.77734375" style="24" customWidth="1"/>
    <col min="14085" max="14085" width="8.88671875" style="24"/>
    <col min="14086" max="14086" width="12.44140625" style="24" customWidth="1"/>
    <col min="14087" max="14087" width="12.33203125" style="24" customWidth="1"/>
    <col min="14088" max="14088" width="8.88671875" style="24"/>
    <col min="14089" max="14089" width="12.109375" style="24" customWidth="1"/>
    <col min="14090" max="14332" width="8.88671875" style="24"/>
    <col min="14333" max="14333" width="15.77734375" style="24" customWidth="1"/>
    <col min="14334" max="14334" width="12.77734375" style="24" customWidth="1"/>
    <col min="14335" max="14335" width="8.77734375" style="24" customWidth="1"/>
    <col min="14336" max="14336" width="13.77734375" style="24" customWidth="1"/>
    <col min="14337" max="14337" width="8.77734375" style="24" customWidth="1"/>
    <col min="14338" max="14338" width="12.77734375" style="24" customWidth="1"/>
    <col min="14339" max="14339" width="10.77734375" style="24" customWidth="1"/>
    <col min="14340" max="14340" width="8.77734375" style="24" customWidth="1"/>
    <col min="14341" max="14341" width="8.88671875" style="24"/>
    <col min="14342" max="14342" width="12.44140625" style="24" customWidth="1"/>
    <col min="14343" max="14343" width="12.33203125" style="24" customWidth="1"/>
    <col min="14344" max="14344" width="8.88671875" style="24"/>
    <col min="14345" max="14345" width="12.109375" style="24" customWidth="1"/>
    <col min="14346" max="14588" width="8.88671875" style="24"/>
    <col min="14589" max="14589" width="15.77734375" style="24" customWidth="1"/>
    <col min="14590" max="14590" width="12.77734375" style="24" customWidth="1"/>
    <col min="14591" max="14591" width="8.77734375" style="24" customWidth="1"/>
    <col min="14592" max="14592" width="13.77734375" style="24" customWidth="1"/>
    <col min="14593" max="14593" width="8.77734375" style="24" customWidth="1"/>
    <col min="14594" max="14594" width="12.77734375" style="24" customWidth="1"/>
    <col min="14595" max="14595" width="10.77734375" style="24" customWidth="1"/>
    <col min="14596" max="14596" width="8.77734375" style="24" customWidth="1"/>
    <col min="14597" max="14597" width="8.88671875" style="24"/>
    <col min="14598" max="14598" width="12.44140625" style="24" customWidth="1"/>
    <col min="14599" max="14599" width="12.33203125" style="24" customWidth="1"/>
    <col min="14600" max="14600" width="8.88671875" style="24"/>
    <col min="14601" max="14601" width="12.109375" style="24" customWidth="1"/>
    <col min="14602" max="14844" width="8.88671875" style="24"/>
    <col min="14845" max="14845" width="15.77734375" style="24" customWidth="1"/>
    <col min="14846" max="14846" width="12.77734375" style="24" customWidth="1"/>
    <col min="14847" max="14847" width="8.77734375" style="24" customWidth="1"/>
    <col min="14848" max="14848" width="13.77734375" style="24" customWidth="1"/>
    <col min="14849" max="14849" width="8.77734375" style="24" customWidth="1"/>
    <col min="14850" max="14850" width="12.77734375" style="24" customWidth="1"/>
    <col min="14851" max="14851" width="10.77734375" style="24" customWidth="1"/>
    <col min="14852" max="14852" width="8.77734375" style="24" customWidth="1"/>
    <col min="14853" max="14853" width="8.88671875" style="24"/>
    <col min="14854" max="14854" width="12.44140625" style="24" customWidth="1"/>
    <col min="14855" max="14855" width="12.33203125" style="24" customWidth="1"/>
    <col min="14856" max="14856" width="8.88671875" style="24"/>
    <col min="14857" max="14857" width="12.109375" style="24" customWidth="1"/>
    <col min="14858" max="15100" width="8.88671875" style="24"/>
    <col min="15101" max="15101" width="15.77734375" style="24" customWidth="1"/>
    <col min="15102" max="15102" width="12.77734375" style="24" customWidth="1"/>
    <col min="15103" max="15103" width="8.77734375" style="24" customWidth="1"/>
    <col min="15104" max="15104" width="13.77734375" style="24" customWidth="1"/>
    <col min="15105" max="15105" width="8.77734375" style="24" customWidth="1"/>
    <col min="15106" max="15106" width="12.77734375" style="24" customWidth="1"/>
    <col min="15107" max="15107" width="10.77734375" style="24" customWidth="1"/>
    <col min="15108" max="15108" width="8.77734375" style="24" customWidth="1"/>
    <col min="15109" max="15109" width="8.88671875" style="24"/>
    <col min="15110" max="15110" width="12.44140625" style="24" customWidth="1"/>
    <col min="15111" max="15111" width="12.33203125" style="24" customWidth="1"/>
    <col min="15112" max="15112" width="8.88671875" style="24"/>
    <col min="15113" max="15113" width="12.109375" style="24" customWidth="1"/>
    <col min="15114" max="15356" width="8.88671875" style="24"/>
    <col min="15357" max="15357" width="15.77734375" style="24" customWidth="1"/>
    <col min="15358" max="15358" width="12.77734375" style="24" customWidth="1"/>
    <col min="15359" max="15359" width="8.77734375" style="24" customWidth="1"/>
    <col min="15360" max="15360" width="13.77734375" style="24" customWidth="1"/>
    <col min="15361" max="15361" width="8.77734375" style="24" customWidth="1"/>
    <col min="15362" max="15362" width="12.77734375" style="24" customWidth="1"/>
    <col min="15363" max="15363" width="10.77734375" style="24" customWidth="1"/>
    <col min="15364" max="15364" width="8.77734375" style="24" customWidth="1"/>
    <col min="15365" max="15365" width="8.88671875" style="24"/>
    <col min="15366" max="15366" width="12.44140625" style="24" customWidth="1"/>
    <col min="15367" max="15367" width="12.33203125" style="24" customWidth="1"/>
    <col min="15368" max="15368" width="8.88671875" style="24"/>
    <col min="15369" max="15369" width="12.109375" style="24" customWidth="1"/>
    <col min="15370" max="15612" width="8.88671875" style="24"/>
    <col min="15613" max="15613" width="15.77734375" style="24" customWidth="1"/>
    <col min="15614" max="15614" width="12.77734375" style="24" customWidth="1"/>
    <col min="15615" max="15615" width="8.77734375" style="24" customWidth="1"/>
    <col min="15616" max="15616" width="13.77734375" style="24" customWidth="1"/>
    <col min="15617" max="15617" width="8.77734375" style="24" customWidth="1"/>
    <col min="15618" max="15618" width="12.77734375" style="24" customWidth="1"/>
    <col min="15619" max="15619" width="10.77734375" style="24" customWidth="1"/>
    <col min="15620" max="15620" width="8.77734375" style="24" customWidth="1"/>
    <col min="15621" max="15621" width="8.88671875" style="24"/>
    <col min="15622" max="15622" width="12.44140625" style="24" customWidth="1"/>
    <col min="15623" max="15623" width="12.33203125" style="24" customWidth="1"/>
    <col min="15624" max="15624" width="8.88671875" style="24"/>
    <col min="15625" max="15625" width="12.109375" style="24" customWidth="1"/>
    <col min="15626" max="15868" width="8.88671875" style="24"/>
    <col min="15869" max="15869" width="15.77734375" style="24" customWidth="1"/>
    <col min="15870" max="15870" width="12.77734375" style="24" customWidth="1"/>
    <col min="15871" max="15871" width="8.77734375" style="24" customWidth="1"/>
    <col min="15872" max="15872" width="13.77734375" style="24" customWidth="1"/>
    <col min="15873" max="15873" width="8.77734375" style="24" customWidth="1"/>
    <col min="15874" max="15874" width="12.77734375" style="24" customWidth="1"/>
    <col min="15875" max="15875" width="10.77734375" style="24" customWidth="1"/>
    <col min="15876" max="15876" width="8.77734375" style="24" customWidth="1"/>
    <col min="15877" max="15877" width="8.88671875" style="24"/>
    <col min="15878" max="15878" width="12.44140625" style="24" customWidth="1"/>
    <col min="15879" max="15879" width="12.33203125" style="24" customWidth="1"/>
    <col min="15880" max="15880" width="8.88671875" style="24"/>
    <col min="15881" max="15881" width="12.109375" style="24" customWidth="1"/>
    <col min="15882" max="16124" width="8.88671875" style="24"/>
    <col min="16125" max="16125" width="15.77734375" style="24" customWidth="1"/>
    <col min="16126" max="16126" width="12.77734375" style="24" customWidth="1"/>
    <col min="16127" max="16127" width="8.77734375" style="24" customWidth="1"/>
    <col min="16128" max="16128" width="13.77734375" style="24" customWidth="1"/>
    <col min="16129" max="16129" width="8.77734375" style="24" customWidth="1"/>
    <col min="16130" max="16130" width="12.77734375" style="24" customWidth="1"/>
    <col min="16131" max="16131" width="10.77734375" style="24" customWidth="1"/>
    <col min="16132" max="16132" width="8.77734375" style="24" customWidth="1"/>
    <col min="16133" max="16133" width="8.88671875" style="24"/>
    <col min="16134" max="16134" width="12.44140625" style="24" customWidth="1"/>
    <col min="16135" max="16135" width="12.33203125" style="24" customWidth="1"/>
    <col min="16136" max="16136" width="8.88671875" style="24"/>
    <col min="16137" max="16137" width="12.109375" style="24" customWidth="1"/>
    <col min="16138" max="16384" width="8.88671875" style="24"/>
  </cols>
  <sheetData>
    <row r="1" spans="1:8" x14ac:dyDescent="0.2">
      <c r="A1" s="28"/>
      <c r="B1" s="28"/>
      <c r="C1" s="28"/>
      <c r="D1" s="28"/>
      <c r="E1" s="28"/>
      <c r="F1" s="28"/>
      <c r="G1" s="28"/>
      <c r="H1" s="57">
        <f>'Combined Rate-Bud Hearing Notic'!H2</f>
        <v>2024</v>
      </c>
    </row>
    <row r="2" spans="1:8" x14ac:dyDescent="0.2">
      <c r="A2" s="754" t="s">
        <v>727</v>
      </c>
      <c r="B2" s="666"/>
      <c r="C2" s="666"/>
      <c r="D2" s="666"/>
      <c r="E2" s="666"/>
      <c r="F2" s="666"/>
      <c r="G2" s="666"/>
      <c r="H2" s="666"/>
    </row>
    <row r="3" spans="1:8" x14ac:dyDescent="0.2">
      <c r="A3" s="28"/>
      <c r="B3" s="28"/>
      <c r="C3" s="28"/>
      <c r="D3" s="28"/>
      <c r="E3" s="28"/>
      <c r="F3" s="28"/>
      <c r="G3" s="28"/>
      <c r="H3" s="28"/>
    </row>
    <row r="4" spans="1:8" x14ac:dyDescent="0.2">
      <c r="A4" s="665" t="s">
        <v>80</v>
      </c>
      <c r="B4" s="665"/>
      <c r="C4" s="665"/>
      <c r="D4" s="665"/>
      <c r="E4" s="665"/>
      <c r="F4" s="665"/>
      <c r="G4" s="665"/>
      <c r="H4" s="665"/>
    </row>
    <row r="5" spans="1:8" x14ac:dyDescent="0.2">
      <c r="A5" s="635" t="str">
        <f>inputPrYr!D3</f>
        <v>Wellsville</v>
      </c>
      <c r="B5" s="753"/>
      <c r="C5" s="753"/>
      <c r="D5" s="753"/>
      <c r="E5" s="753"/>
      <c r="F5" s="753"/>
      <c r="G5" s="753"/>
      <c r="H5" s="753"/>
    </row>
    <row r="6" spans="1:8" x14ac:dyDescent="0.2">
      <c r="A6" s="665" t="str">
        <f>CONCATENATE("will meet on ",inputHearing!B42," at ",inputHearing!B44," at ",inputHearing!B46," for the purpose of hearing and")</f>
        <v>will meet on  at  at  for the purpose of hearing and</v>
      </c>
      <c r="B6" s="665"/>
      <c r="C6" s="665"/>
      <c r="D6" s="665"/>
      <c r="E6" s="665"/>
      <c r="F6" s="665"/>
      <c r="G6" s="665"/>
      <c r="H6" s="665"/>
    </row>
    <row r="7" spans="1:8" ht="14.25" customHeight="1" x14ac:dyDescent="0.2">
      <c r="A7" s="665" t="s">
        <v>728</v>
      </c>
      <c r="B7" s="665"/>
      <c r="C7" s="665"/>
      <c r="D7" s="665"/>
      <c r="E7" s="665"/>
      <c r="F7" s="665"/>
      <c r="G7" s="665"/>
      <c r="H7" s="665"/>
    </row>
    <row r="8" spans="1:8" ht="11.25" customHeight="1" x14ac:dyDescent="0.2">
      <c r="A8" s="28"/>
      <c r="B8" s="28"/>
      <c r="C8" s="28"/>
      <c r="D8" s="28"/>
      <c r="E8" s="28"/>
      <c r="F8" s="28"/>
      <c r="G8" s="28"/>
      <c r="H8" s="28"/>
    </row>
    <row r="9" spans="1:8" ht="15" customHeight="1" x14ac:dyDescent="0.2">
      <c r="A9" s="753" t="s">
        <v>729</v>
      </c>
      <c r="B9" s="753"/>
      <c r="C9" s="753"/>
      <c r="D9" s="753"/>
      <c r="E9" s="753"/>
      <c r="F9" s="753"/>
      <c r="G9" s="753"/>
      <c r="H9" s="753"/>
    </row>
    <row r="10" spans="1:8" ht="12" customHeight="1" x14ac:dyDescent="0.2">
      <c r="A10" s="664" t="str">
        <f>inputPrYr!D4</f>
        <v>Franklin</v>
      </c>
      <c r="B10" s="665"/>
      <c r="C10" s="665"/>
      <c r="D10" s="665"/>
      <c r="E10" s="665"/>
      <c r="F10" s="665"/>
      <c r="G10" s="665"/>
      <c r="H10" s="665"/>
    </row>
    <row r="11" spans="1:8" x14ac:dyDescent="0.2">
      <c r="A11" s="81"/>
      <c r="B11" s="33"/>
      <c r="C11" s="33"/>
      <c r="D11" s="33"/>
      <c r="E11" s="33"/>
      <c r="F11" s="33"/>
      <c r="G11" s="33"/>
      <c r="H11" s="33"/>
    </row>
    <row r="12" spans="1:8" x14ac:dyDescent="0.2">
      <c r="A12" s="81"/>
      <c r="B12" s="755" t="s">
        <v>730</v>
      </c>
      <c r="C12" s="755"/>
      <c r="D12" s="586">
        <f>'Summary Budget Hearing Notice'!H53</f>
        <v>50.973999999999997</v>
      </c>
      <c r="E12" s="755" t="s">
        <v>731</v>
      </c>
      <c r="F12" s="755"/>
      <c r="G12" s="587" t="e">
        <f>'Summary Budget Hearing Notice'!H52</f>
        <v>#REF!</v>
      </c>
      <c r="H12" s="33"/>
    </row>
    <row r="13" spans="1:8" x14ac:dyDescent="0.2">
      <c r="A13" s="28"/>
      <c r="B13" s="162"/>
      <c r="C13" s="162"/>
      <c r="D13" s="162"/>
      <c r="E13" s="162"/>
      <c r="F13" s="162"/>
      <c r="G13" s="162"/>
      <c r="H13" s="162"/>
    </row>
    <row r="14" spans="1:8" x14ac:dyDescent="0.2">
      <c r="A14" s="28"/>
      <c r="B14" s="756" t="s">
        <v>732</v>
      </c>
      <c r="C14" s="756"/>
      <c r="D14" s="756"/>
      <c r="E14" s="756"/>
      <c r="F14" s="756"/>
      <c r="G14" s="28"/>
      <c r="H14" s="57"/>
    </row>
    <row r="15" spans="1:8" x14ac:dyDescent="0.2">
      <c r="A15" s="28"/>
      <c r="B15" s="756" t="s">
        <v>733</v>
      </c>
      <c r="C15" s="756"/>
      <c r="D15" s="756"/>
      <c r="E15" s="756"/>
      <c r="F15" s="756"/>
      <c r="G15" s="28"/>
      <c r="H15" s="57"/>
    </row>
    <row r="16" spans="1:8" x14ac:dyDescent="0.2">
      <c r="A16" s="28"/>
      <c r="B16" s="588"/>
      <c r="C16" s="588"/>
      <c r="D16" s="588"/>
      <c r="E16" s="588"/>
      <c r="F16" s="588"/>
      <c r="G16" s="28"/>
      <c r="H16" s="57"/>
    </row>
    <row r="17" spans="1:8" x14ac:dyDescent="0.2">
      <c r="A17" s="28"/>
      <c r="B17" s="588"/>
      <c r="C17" s="588"/>
      <c r="D17" s="80" t="s">
        <v>70</v>
      </c>
      <c r="E17" s="464"/>
      <c r="F17" s="588"/>
      <c r="G17" s="28"/>
      <c r="H17" s="57"/>
    </row>
    <row r="19" spans="1:8" x14ac:dyDescent="0.2">
      <c r="A19" s="26"/>
      <c r="B19" s="26"/>
      <c r="C19" s="26"/>
      <c r="D19" s="26"/>
      <c r="E19" s="26"/>
      <c r="F19" s="26"/>
      <c r="G19" s="26"/>
      <c r="H19" s="26"/>
    </row>
    <row r="21" spans="1:8" x14ac:dyDescent="0.2">
      <c r="A21" s="26"/>
      <c r="B21" s="26"/>
      <c r="C21" s="26"/>
      <c r="D21" s="26"/>
      <c r="E21" s="26"/>
      <c r="F21" s="26"/>
      <c r="G21" s="26"/>
      <c r="H21" s="26"/>
    </row>
    <row r="22" spans="1:8" x14ac:dyDescent="0.2">
      <c r="A22" s="26"/>
      <c r="B22" s="26"/>
      <c r="C22" s="26"/>
      <c r="D22" s="26"/>
      <c r="E22" s="26"/>
      <c r="F22" s="26"/>
      <c r="G22" s="26"/>
      <c r="H22" s="26"/>
    </row>
    <row r="23" spans="1:8" x14ac:dyDescent="0.2">
      <c r="A23" s="26"/>
      <c r="B23" s="26"/>
      <c r="C23" s="26"/>
      <c r="D23" s="26"/>
      <c r="E23" s="26"/>
      <c r="F23" s="26"/>
      <c r="G23" s="26"/>
      <c r="H23" s="26"/>
    </row>
    <row r="24" spans="1:8" x14ac:dyDescent="0.2">
      <c r="A24" s="26"/>
      <c r="B24" s="26"/>
      <c r="C24" s="26"/>
      <c r="D24" s="26"/>
      <c r="E24" s="26"/>
      <c r="F24" s="26"/>
      <c r="G24" s="26"/>
      <c r="H24" s="26"/>
    </row>
    <row r="25" spans="1:8" x14ac:dyDescent="0.2">
      <c r="A25" s="26"/>
      <c r="B25" s="26"/>
      <c r="C25" s="26"/>
      <c r="D25" s="26"/>
      <c r="E25" s="26"/>
      <c r="F25" s="26"/>
      <c r="G25" s="26"/>
      <c r="H25" s="26"/>
    </row>
    <row r="26" spans="1:8" x14ac:dyDescent="0.2">
      <c r="A26" s="26"/>
      <c r="B26" s="26"/>
      <c r="C26" s="26"/>
      <c r="D26" s="26"/>
      <c r="E26" s="26"/>
      <c r="F26" s="26"/>
      <c r="G26" s="26"/>
      <c r="H26" s="26"/>
    </row>
    <row r="27" spans="1:8" x14ac:dyDescent="0.2">
      <c r="A27" s="26"/>
      <c r="B27" s="26"/>
      <c r="C27" s="26"/>
      <c r="D27" s="26"/>
      <c r="E27" s="26"/>
      <c r="F27" s="26"/>
      <c r="G27" s="26"/>
      <c r="H27" s="26"/>
    </row>
    <row r="28" spans="1:8" x14ac:dyDescent="0.2">
      <c r="A28" s="26"/>
      <c r="B28" s="26"/>
      <c r="C28" s="26"/>
      <c r="D28" s="26"/>
      <c r="E28" s="26"/>
      <c r="F28" s="26"/>
      <c r="G28" s="26"/>
      <c r="H28" s="26"/>
    </row>
    <row r="29" spans="1:8" x14ac:dyDescent="0.2">
      <c r="A29" s="26"/>
      <c r="B29" s="26"/>
      <c r="C29" s="26"/>
      <c r="D29" s="26"/>
      <c r="E29" s="26"/>
      <c r="F29" s="26"/>
      <c r="G29" s="26"/>
      <c r="H29" s="26"/>
    </row>
    <row r="37" ht="15" customHeight="1" x14ac:dyDescent="0.2"/>
  </sheetData>
  <sheetProtection sheet="1" objects="1" scenarios="1"/>
  <mergeCells count="11">
    <mergeCell ref="A10:H10"/>
    <mergeCell ref="B12:C12"/>
    <mergeCell ref="E12:F12"/>
    <mergeCell ref="B14:F14"/>
    <mergeCell ref="B15:F15"/>
    <mergeCell ref="A9:H9"/>
    <mergeCell ref="A2:H2"/>
    <mergeCell ref="A4:H4"/>
    <mergeCell ref="A5:H5"/>
    <mergeCell ref="A6:H6"/>
    <mergeCell ref="A7:H7"/>
  </mergeCells>
  <pageMargins left="1" right="1" top="0.5" bottom="0.5" header="0.5" footer="0.5"/>
  <pageSetup scale="76"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workbookViewId="0">
      <selection activeCell="G1" sqref="G1"/>
    </sheetView>
  </sheetViews>
  <sheetFormatPr defaultColWidth="8.88671875" defaultRowHeight="15" x14ac:dyDescent="0.2"/>
  <cols>
    <col min="1" max="1" width="10.109375" style="64" customWidth="1"/>
    <col min="2" max="2" width="16.33203125" style="64" customWidth="1"/>
    <col min="3" max="3" width="11.77734375" style="64" customWidth="1"/>
    <col min="4" max="4" width="12.77734375" style="64" customWidth="1"/>
    <col min="5" max="5" width="11.77734375" style="64" customWidth="1"/>
    <col min="6" max="16384" width="8.88671875" style="64"/>
  </cols>
  <sheetData>
    <row r="1" spans="1:6" ht="15.75" x14ac:dyDescent="0.2">
      <c r="A1" s="47" t="str">
        <f>inputPrYr!D3</f>
        <v>Wellsville</v>
      </c>
      <c r="B1" s="28"/>
      <c r="C1" s="28"/>
      <c r="D1" s="28"/>
      <c r="E1" s="28"/>
      <c r="F1" s="28">
        <f>inputPrYr!C6</f>
        <v>2024</v>
      </c>
    </row>
    <row r="2" spans="1:6" ht="15.75" x14ac:dyDescent="0.2">
      <c r="A2" s="28"/>
      <c r="B2" s="28"/>
      <c r="C2" s="28"/>
      <c r="D2" s="28"/>
      <c r="E2" s="28"/>
      <c r="F2" s="28"/>
    </row>
    <row r="3" spans="1:6" ht="15.75" x14ac:dyDescent="0.2">
      <c r="A3" s="28"/>
      <c r="B3" s="757" t="str">
        <f>CONCATENATE("",F1," Neighborhood Revitalization Rebate")</f>
        <v>2024 Neighborhood Revitalization Rebate</v>
      </c>
      <c r="C3" s="757"/>
      <c r="D3" s="757"/>
      <c r="E3" s="757"/>
      <c r="F3" s="28"/>
    </row>
    <row r="4" spans="1:6" ht="15.75" x14ac:dyDescent="0.2">
      <c r="A4" s="28"/>
      <c r="B4" s="28"/>
      <c r="C4" s="28"/>
      <c r="D4" s="28"/>
      <c r="E4" s="28"/>
      <c r="F4" s="28"/>
    </row>
    <row r="5" spans="1:6" ht="51.75" customHeight="1" x14ac:dyDescent="0.2">
      <c r="A5" s="28"/>
      <c r="B5" s="231" t="str">
        <f>CONCATENATE("Budgeted Funds         for ",F1,"")</f>
        <v>Budgeted Funds         for 2024</v>
      </c>
      <c r="C5" s="231" t="str">
        <f>CONCATENATE("",F1-1," Ad Valorem before Rebate**")</f>
        <v>2023 Ad Valorem before Rebate**</v>
      </c>
      <c r="D5" s="232" t="str">
        <f>CONCATENATE("",F1-1," Mil Rate before Rebate")</f>
        <v>2023 Mil Rate before Rebate</v>
      </c>
      <c r="E5" s="233" t="str">
        <f>CONCATENATE("Estimate ",F1," NR Rebate")</f>
        <v>Estimate 2024 NR Rebate</v>
      </c>
      <c r="F5" s="57"/>
    </row>
    <row r="6" spans="1:6" ht="15.75" x14ac:dyDescent="0.2">
      <c r="A6" s="28"/>
      <c r="B6" s="37" t="str">
        <f>inputPrYr!B18</f>
        <v>General</v>
      </c>
      <c r="C6" s="234"/>
      <c r="D6" s="235" t="str">
        <f>IF(C6&gt;0,C6/$D$24,"")</f>
        <v/>
      </c>
      <c r="E6" s="154">
        <f t="shared" ref="E6:E18" si="0">IF(C6&gt;0,ROUND(D6*$D$28,0),0)</f>
        <v>0</v>
      </c>
      <c r="F6" s="57"/>
    </row>
    <row r="7" spans="1:6" ht="15.75" x14ac:dyDescent="0.2">
      <c r="A7" s="28"/>
      <c r="B7" s="37" t="str">
        <f>inputPrYr!B19</f>
        <v>Debt Service</v>
      </c>
      <c r="C7" s="234"/>
      <c r="D7" s="235" t="str">
        <f t="shared" ref="D7:D17" si="1">IF(C7&gt;0,C7/$D$24,"")</f>
        <v/>
      </c>
      <c r="E7" s="154">
        <f t="shared" si="0"/>
        <v>0</v>
      </c>
      <c r="F7" s="57"/>
    </row>
    <row r="8" spans="1:6" ht="15.75" x14ac:dyDescent="0.2">
      <c r="A8" s="28"/>
      <c r="B8" s="52" t="str">
        <f>inputPrYr!B20</f>
        <v>Library</v>
      </c>
      <c r="C8" s="234"/>
      <c r="D8" s="235" t="str">
        <f t="shared" si="1"/>
        <v/>
      </c>
      <c r="E8" s="154">
        <f t="shared" si="0"/>
        <v>0</v>
      </c>
      <c r="F8" s="57"/>
    </row>
    <row r="9" spans="1:6" ht="15.75" x14ac:dyDescent="0.2">
      <c r="A9" s="28"/>
      <c r="B9" s="52" t="str">
        <f>inputPrYr!B22</f>
        <v>Employee Benefits</v>
      </c>
      <c r="C9" s="234"/>
      <c r="D9" s="235" t="str">
        <f t="shared" si="1"/>
        <v/>
      </c>
      <c r="E9" s="154">
        <f t="shared" si="0"/>
        <v>0</v>
      </c>
      <c r="F9" s="57"/>
    </row>
    <row r="10" spans="1:6" ht="15.75" x14ac:dyDescent="0.2">
      <c r="A10" s="28"/>
      <c r="B10" s="52" t="str">
        <f>inputPrYr!B23</f>
        <v>Library Employee Benefits</v>
      </c>
      <c r="C10" s="234"/>
      <c r="D10" s="235" t="str">
        <f t="shared" si="1"/>
        <v/>
      </c>
      <c r="E10" s="154">
        <f t="shared" si="0"/>
        <v>0</v>
      </c>
      <c r="F10" s="57"/>
    </row>
    <row r="11" spans="1:6" ht="15.75" x14ac:dyDescent="0.2">
      <c r="A11" s="28"/>
      <c r="B11" s="52" t="str">
        <f>inputPrYr!B24</f>
        <v>Special Tort Claim</v>
      </c>
      <c r="C11" s="234"/>
      <c r="D11" s="235" t="str">
        <f t="shared" si="1"/>
        <v/>
      </c>
      <c r="E11" s="154">
        <f t="shared" si="0"/>
        <v>0</v>
      </c>
      <c r="F11" s="57"/>
    </row>
    <row r="12" spans="1:6" ht="15.75" x14ac:dyDescent="0.2">
      <c r="A12" s="28"/>
      <c r="B12" s="52">
        <f>inputPrYr!B25</f>
        <v>0</v>
      </c>
      <c r="C12" s="236"/>
      <c r="D12" s="235" t="str">
        <f t="shared" si="1"/>
        <v/>
      </c>
      <c r="E12" s="154">
        <f t="shared" si="0"/>
        <v>0</v>
      </c>
      <c r="F12" s="57"/>
    </row>
    <row r="13" spans="1:6" ht="15.75" x14ac:dyDescent="0.2">
      <c r="A13" s="28"/>
      <c r="B13" s="52">
        <f>inputPrYr!B26</f>
        <v>0</v>
      </c>
      <c r="C13" s="236"/>
      <c r="D13" s="235" t="str">
        <f t="shared" si="1"/>
        <v/>
      </c>
      <c r="E13" s="154">
        <f t="shared" si="0"/>
        <v>0</v>
      </c>
      <c r="F13" s="57"/>
    </row>
    <row r="14" spans="1:6" ht="15.75" x14ac:dyDescent="0.2">
      <c r="A14" s="28"/>
      <c r="B14" s="52">
        <f>inputPrYr!B27</f>
        <v>0</v>
      </c>
      <c r="C14" s="236"/>
      <c r="D14" s="235" t="str">
        <f t="shared" si="1"/>
        <v/>
      </c>
      <c r="E14" s="154">
        <f t="shared" si="0"/>
        <v>0</v>
      </c>
      <c r="F14" s="57"/>
    </row>
    <row r="15" spans="1:6" ht="15.75" x14ac:dyDescent="0.2">
      <c r="A15" s="28"/>
      <c r="B15" s="52">
        <f>inputPrYr!B28</f>
        <v>0</v>
      </c>
      <c r="C15" s="236"/>
      <c r="D15" s="235" t="str">
        <f t="shared" si="1"/>
        <v/>
      </c>
      <c r="E15" s="154">
        <f t="shared" si="0"/>
        <v>0</v>
      </c>
      <c r="F15" s="57"/>
    </row>
    <row r="16" spans="1:6" ht="15.75" x14ac:dyDescent="0.2">
      <c r="A16" s="28"/>
      <c r="B16" s="52">
        <f>inputPrYr!B29</f>
        <v>0</v>
      </c>
      <c r="C16" s="236"/>
      <c r="D16" s="235" t="str">
        <f t="shared" si="1"/>
        <v/>
      </c>
      <c r="E16" s="154">
        <f t="shared" si="0"/>
        <v>0</v>
      </c>
      <c r="F16" s="57"/>
    </row>
    <row r="17" spans="1:6" ht="15.75" x14ac:dyDescent="0.2">
      <c r="A17" s="28"/>
      <c r="B17" s="52">
        <f>inputPrYr!B30</f>
        <v>0</v>
      </c>
      <c r="C17" s="236"/>
      <c r="D17" s="235" t="str">
        <f t="shared" si="1"/>
        <v/>
      </c>
      <c r="E17" s="154">
        <f t="shared" si="0"/>
        <v>0</v>
      </c>
      <c r="F17" s="57"/>
    </row>
    <row r="18" spans="1:6" ht="15.75" x14ac:dyDescent="0.2">
      <c r="A18" s="28"/>
      <c r="B18" s="52">
        <f>inputPrYr!B31</f>
        <v>0</v>
      </c>
      <c r="C18" s="236"/>
      <c r="D18" s="235" t="str">
        <f>IF(C18&gt;0,C18/$D$24,"")</f>
        <v/>
      </c>
      <c r="E18" s="154">
        <f t="shared" si="0"/>
        <v>0</v>
      </c>
      <c r="F18" s="57"/>
    </row>
    <row r="19" spans="1:6" ht="16.5" thickBot="1" x14ac:dyDescent="0.25">
      <c r="A19" s="28"/>
      <c r="B19" s="38" t="s">
        <v>55</v>
      </c>
      <c r="C19" s="237">
        <f>SUM(C6:C18)</f>
        <v>0</v>
      </c>
      <c r="D19" s="238">
        <f>SUM(D6:D17)</f>
        <v>0</v>
      </c>
      <c r="E19" s="237">
        <f>SUM(E6:E17)</f>
        <v>0</v>
      </c>
      <c r="F19" s="57"/>
    </row>
    <row r="20" spans="1:6" ht="16.5" thickTop="1" x14ac:dyDescent="0.2">
      <c r="A20" s="28"/>
      <c r="B20" s="28"/>
      <c r="C20" s="28"/>
      <c r="D20" s="28"/>
      <c r="E20" s="28"/>
      <c r="F20" s="57"/>
    </row>
    <row r="21" spans="1:6" ht="15.75" x14ac:dyDescent="0.2">
      <c r="A21" s="28"/>
      <c r="B21" s="28"/>
      <c r="C21" s="28"/>
      <c r="D21" s="28"/>
      <c r="E21" s="28"/>
      <c r="F21" s="57"/>
    </row>
    <row r="22" spans="1:6" ht="15.75" x14ac:dyDescent="0.2">
      <c r="A22" s="758" t="str">
        <f>CONCATENATE("",F1-1," July 1 Valuation:")</f>
        <v>2023 July 1 Valuation:</v>
      </c>
      <c r="B22" s="699"/>
      <c r="C22" s="758"/>
      <c r="D22" s="230">
        <f>inputOth!E7</f>
        <v>20856018</v>
      </c>
      <c r="E22" s="28"/>
      <c r="F22" s="57"/>
    </row>
    <row r="23" spans="1:6" ht="15.75" x14ac:dyDescent="0.2">
      <c r="A23" s="28"/>
      <c r="B23" s="28"/>
      <c r="C23" s="28"/>
      <c r="D23" s="28"/>
      <c r="E23" s="28"/>
      <c r="F23" s="57"/>
    </row>
    <row r="24" spans="1:6" ht="15.75" x14ac:dyDescent="0.2">
      <c r="A24" s="28"/>
      <c r="B24" s="758" t="s">
        <v>220</v>
      </c>
      <c r="C24" s="758"/>
      <c r="D24" s="239">
        <f>IF(D22&gt;0,(D22*0.001),"")</f>
        <v>20856.018</v>
      </c>
      <c r="E24" s="28"/>
      <c r="F24" s="57"/>
    </row>
    <row r="25" spans="1:6" ht="15.75" x14ac:dyDescent="0.2">
      <c r="A25" s="28"/>
      <c r="B25" s="80"/>
      <c r="C25" s="80"/>
      <c r="D25" s="240"/>
      <c r="E25" s="28"/>
      <c r="F25" s="57"/>
    </row>
    <row r="26" spans="1:6" ht="15.75" x14ac:dyDescent="0.2">
      <c r="A26" s="676" t="s">
        <v>221</v>
      </c>
      <c r="B26" s="666"/>
      <c r="C26" s="666"/>
      <c r="D26" s="230">
        <f>inputOth!E18</f>
        <v>0</v>
      </c>
      <c r="E26" s="40"/>
      <c r="F26" s="40"/>
    </row>
    <row r="27" spans="1:6" x14ac:dyDescent="0.2">
      <c r="A27" s="40"/>
      <c r="B27" s="40"/>
      <c r="C27" s="40"/>
      <c r="D27" s="241"/>
      <c r="E27" s="40"/>
      <c r="F27" s="40"/>
    </row>
    <row r="28" spans="1:6" ht="15.75" x14ac:dyDescent="0.2">
      <c r="A28" s="40"/>
      <c r="B28" s="676" t="s">
        <v>222</v>
      </c>
      <c r="C28" s="699"/>
      <c r="D28" s="239" t="str">
        <f>IF(D26&gt;0,(D26*0.001),"")</f>
        <v/>
      </c>
      <c r="E28" s="40"/>
      <c r="F28" s="40"/>
    </row>
    <row r="29" spans="1:6" x14ac:dyDescent="0.2">
      <c r="A29" s="40"/>
      <c r="B29" s="40"/>
      <c r="C29" s="40"/>
      <c r="D29" s="40"/>
      <c r="E29" s="40"/>
      <c r="F29" s="40"/>
    </row>
    <row r="30" spans="1:6" x14ac:dyDescent="0.2">
      <c r="A30" s="40"/>
      <c r="B30" s="40"/>
      <c r="C30" s="40"/>
      <c r="D30" s="40"/>
      <c r="E30" s="40"/>
      <c r="F30" s="40"/>
    </row>
    <row r="31" spans="1:6" x14ac:dyDescent="0.2">
      <c r="A31" s="40"/>
      <c r="B31" s="40"/>
      <c r="C31" s="40"/>
      <c r="D31" s="40"/>
      <c r="E31" s="40"/>
      <c r="F31" s="40"/>
    </row>
    <row r="32" spans="1:6" ht="15.75" x14ac:dyDescent="0.25">
      <c r="A32" s="5" t="str">
        <f>CONCATENATE("**This information comes from the ",F1," Budget Summary page.  See instructions tab step #12 for")</f>
        <v>**This information comes from the 2024 Budget Summary page.  See instructions tab step #12 for</v>
      </c>
      <c r="B32" s="40"/>
      <c r="C32" s="40"/>
      <c r="D32" s="40"/>
      <c r="E32" s="40"/>
      <c r="F32" s="40"/>
    </row>
    <row r="33" spans="1:6" ht="15.75" x14ac:dyDescent="0.25">
      <c r="A33" s="5" t="s">
        <v>695</v>
      </c>
      <c r="B33" s="40"/>
      <c r="C33" s="40"/>
      <c r="D33" s="40"/>
      <c r="E33" s="40"/>
      <c r="F33" s="40"/>
    </row>
    <row r="34" spans="1:6" ht="15.75" x14ac:dyDescent="0.25">
      <c r="A34" s="5"/>
      <c r="B34" s="40"/>
      <c r="C34" s="40"/>
      <c r="D34" s="40"/>
      <c r="E34" s="40"/>
      <c r="F34" s="40"/>
    </row>
    <row r="35" spans="1:6" ht="15.75" x14ac:dyDescent="0.25">
      <c r="A35" s="5"/>
      <c r="B35" s="40"/>
      <c r="C35" s="40"/>
      <c r="D35" s="40"/>
      <c r="E35" s="40"/>
      <c r="F35" s="40"/>
    </row>
    <row r="36" spans="1:6" ht="15.75" x14ac:dyDescent="0.25">
      <c r="A36" s="5"/>
      <c r="B36" s="40"/>
      <c r="C36" s="40"/>
      <c r="D36" s="40"/>
      <c r="E36" s="40"/>
      <c r="F36" s="40"/>
    </row>
    <row r="37" spans="1:6" ht="15.75" x14ac:dyDescent="0.25">
      <c r="A37" s="5"/>
      <c r="B37" s="40"/>
      <c r="C37" s="40"/>
      <c r="D37" s="40"/>
      <c r="E37" s="40"/>
      <c r="F37" s="40"/>
    </row>
    <row r="38" spans="1:6" x14ac:dyDescent="0.2">
      <c r="A38" s="40"/>
      <c r="B38" s="40"/>
      <c r="C38" s="40"/>
      <c r="D38" s="40"/>
      <c r="E38" s="40"/>
      <c r="F38" s="40"/>
    </row>
    <row r="39" spans="1:6" ht="15.75" x14ac:dyDescent="0.2">
      <c r="A39" s="40"/>
      <c r="B39" s="80" t="s">
        <v>78</v>
      </c>
      <c r="C39" s="464"/>
      <c r="D39" s="40"/>
      <c r="E39" s="40"/>
      <c r="F39" s="40"/>
    </row>
    <row r="40" spans="1:6" ht="15.75" x14ac:dyDescent="0.2">
      <c r="A40" s="57"/>
      <c r="B40" s="28"/>
      <c r="C40" s="28"/>
      <c r="D40" s="242"/>
      <c r="E40" s="57"/>
      <c r="F40" s="57"/>
    </row>
  </sheetData>
  <sheetProtection sheet="1" objects="1" scenarios="1"/>
  <mergeCells count="5">
    <mergeCell ref="B28:C28"/>
    <mergeCell ref="B3:E3"/>
    <mergeCell ref="A22:C22"/>
    <mergeCell ref="B24:C24"/>
    <mergeCell ref="A26:C26"/>
  </mergeCells>
  <phoneticPr fontId="8" type="noConversion"/>
  <pageMargins left="0.75" right="0.75" top="1" bottom="1" header="0.5" footer="0.5"/>
  <pageSetup scale="92" orientation="portrait" blackAndWhite="1" r:id="rId1"/>
  <headerFooter alignWithMargins="0">
    <oddHeader>&amp;RState of  Kansas
City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7"/>
  <sheetViews>
    <sheetView topLeftCell="A39" workbookViewId="0">
      <selection activeCell="E53" sqref="E53"/>
    </sheetView>
  </sheetViews>
  <sheetFormatPr defaultColWidth="8.88671875" defaultRowHeight="15" x14ac:dyDescent="0.2"/>
  <cols>
    <col min="1" max="1" width="15.77734375" style="64" customWidth="1"/>
    <col min="2" max="2" width="23.77734375" style="64" customWidth="1"/>
    <col min="3" max="3" width="9.77734375" style="64" customWidth="1"/>
    <col min="4" max="4" width="15.109375" style="64" customWidth="1"/>
    <col min="5" max="5" width="15.77734375" style="64" customWidth="1"/>
    <col min="6" max="16384" width="8.88671875" style="64"/>
  </cols>
  <sheetData>
    <row r="1" spans="1:5" ht="15.75" x14ac:dyDescent="0.2">
      <c r="A1" s="47" t="str">
        <f>inputPrYr!$D$3</f>
        <v>Wellsville</v>
      </c>
      <c r="B1" s="40"/>
      <c r="C1" s="40"/>
      <c r="D1" s="40"/>
      <c r="E1" s="28">
        <f>inputPrYr!C6</f>
        <v>2024</v>
      </c>
    </row>
    <row r="2" spans="1:5" x14ac:dyDescent="0.2">
      <c r="A2" s="40"/>
      <c r="B2" s="40"/>
      <c r="C2" s="40"/>
      <c r="D2" s="40"/>
      <c r="E2" s="40"/>
    </row>
    <row r="3" spans="1:5" ht="15.75" x14ac:dyDescent="0.2">
      <c r="A3" s="633" t="s">
        <v>515</v>
      </c>
      <c r="B3" s="634"/>
      <c r="C3" s="634"/>
      <c r="D3" s="634"/>
      <c r="E3" s="634"/>
    </row>
    <row r="4" spans="1:5" x14ac:dyDescent="0.2">
      <c r="A4" s="40"/>
      <c r="B4" s="40"/>
      <c r="C4" s="40"/>
      <c r="D4" s="40"/>
      <c r="E4" s="40"/>
    </row>
    <row r="5" spans="1:5" x14ac:dyDescent="0.2">
      <c r="A5" s="40"/>
      <c r="B5" s="40"/>
      <c r="C5" s="40"/>
      <c r="D5" s="40"/>
      <c r="E5" s="40"/>
    </row>
    <row r="6" spans="1:5" ht="15.75" x14ac:dyDescent="0.2">
      <c r="A6" s="475" t="str">
        <f>CONCATENATE("From the County Clerk's ",E1," Budget Information:")</f>
        <v>From the County Clerk's 2024 Budget Information:</v>
      </c>
      <c r="B6" s="476"/>
      <c r="C6" s="28"/>
      <c r="D6" s="28"/>
      <c r="E6" s="56"/>
    </row>
    <row r="7" spans="1:5" ht="15.75" x14ac:dyDescent="0.2">
      <c r="A7" s="65" t="str">
        <f>CONCATENATE("Total Assessed Valuation for ",E1-1,"")</f>
        <v>Total Assessed Valuation for 2023</v>
      </c>
      <c r="B7" s="44"/>
      <c r="C7" s="44"/>
      <c r="D7" s="44"/>
      <c r="E7" s="39">
        <v>20856018</v>
      </c>
    </row>
    <row r="8" spans="1:5" ht="15.75" hidden="1" x14ac:dyDescent="0.2">
      <c r="A8" s="65" t="str">
        <f>CONCATENATE("New Improvements, Remodeling and Renovations for ",E1-1,"")</f>
        <v>New Improvements, Remodeling and Renovations for 2023</v>
      </c>
      <c r="B8" s="44"/>
      <c r="C8" s="44"/>
      <c r="D8" s="44"/>
      <c r="E8" s="66"/>
    </row>
    <row r="9" spans="1:5" ht="15.75" hidden="1" x14ac:dyDescent="0.2">
      <c r="A9" s="65" t="str">
        <f>CONCATENATE("Personal Property - ",E1-1,"")</f>
        <v>Personal Property - 2023</v>
      </c>
      <c r="B9" s="44"/>
      <c r="C9" s="44"/>
      <c r="D9" s="44"/>
      <c r="E9" s="66"/>
    </row>
    <row r="10" spans="1:5" ht="15.75" hidden="1" x14ac:dyDescent="0.2">
      <c r="A10" s="67" t="s">
        <v>158</v>
      </c>
      <c r="B10" s="44"/>
      <c r="C10" s="44"/>
      <c r="D10" s="44"/>
      <c r="E10" s="52"/>
    </row>
    <row r="11" spans="1:5" ht="15.75" hidden="1" x14ac:dyDescent="0.2">
      <c r="A11" s="65" t="s">
        <v>134</v>
      </c>
      <c r="B11" s="44"/>
      <c r="C11" s="44"/>
      <c r="D11" s="44"/>
      <c r="E11" s="66"/>
    </row>
    <row r="12" spans="1:5" ht="15.75" hidden="1" x14ac:dyDescent="0.2">
      <c r="A12" s="65" t="s">
        <v>135</v>
      </c>
      <c r="B12" s="44"/>
      <c r="C12" s="44"/>
      <c r="D12" s="44"/>
      <c r="E12" s="66"/>
    </row>
    <row r="13" spans="1:5" ht="15.75" hidden="1" x14ac:dyDescent="0.2">
      <c r="A13" s="65" t="s">
        <v>136</v>
      </c>
      <c r="B13" s="44"/>
      <c r="C13" s="44"/>
      <c r="D13" s="44"/>
      <c r="E13" s="66"/>
    </row>
    <row r="14" spans="1:5" ht="15.75" hidden="1" x14ac:dyDescent="0.2">
      <c r="A14" s="65" t="str">
        <f>CONCATENATE("Property that has changed in use for ",E1-1,"")</f>
        <v>Property that has changed in use for 2023</v>
      </c>
      <c r="B14" s="44"/>
      <c r="C14" s="44"/>
      <c r="D14" s="44"/>
      <c r="E14" s="66"/>
    </row>
    <row r="15" spans="1:5" ht="15.75" hidden="1" x14ac:dyDescent="0.2">
      <c r="A15" s="65" t="str">
        <f>CONCATENATE("Personal Property - ",E1-2,"")</f>
        <v>Personal Property - 2022</v>
      </c>
      <c r="B15" s="44"/>
      <c r="C15" s="44"/>
      <c r="D15" s="44"/>
      <c r="E15" s="66"/>
    </row>
    <row r="16" spans="1:5" ht="15.75" hidden="1" x14ac:dyDescent="0.2">
      <c r="A16" s="65" t="s">
        <v>540</v>
      </c>
      <c r="B16" s="44"/>
      <c r="C16" s="44"/>
      <c r="D16" s="44"/>
      <c r="E16" s="66"/>
    </row>
    <row r="17" spans="1:5" ht="15.75" x14ac:dyDescent="0.2">
      <c r="A17" s="65" t="str">
        <f>CONCATENATE("Gross earnings (intangible) tax estimate for ",E1,"")</f>
        <v>Gross earnings (intangible) tax estimate for 2024</v>
      </c>
      <c r="B17" s="44"/>
      <c r="C17" s="44"/>
      <c r="D17" s="54"/>
      <c r="E17" s="39"/>
    </row>
    <row r="18" spans="1:5" ht="15.75" x14ac:dyDescent="0.2">
      <c r="A18" s="65" t="s">
        <v>159</v>
      </c>
      <c r="B18" s="44"/>
      <c r="C18" s="44"/>
      <c r="D18" s="44"/>
      <c r="E18" s="61"/>
    </row>
    <row r="19" spans="1:5" ht="15.75" x14ac:dyDescent="0.2">
      <c r="A19" s="29"/>
      <c r="B19" s="28"/>
      <c r="C19" s="28"/>
      <c r="D19" s="28"/>
      <c r="E19" s="51"/>
    </row>
    <row r="20" spans="1:5" ht="15.75" x14ac:dyDescent="0.2">
      <c r="A20" s="27" t="s">
        <v>564</v>
      </c>
      <c r="B20" s="28"/>
      <c r="C20" s="28"/>
      <c r="D20" s="559">
        <v>50.973999999999997</v>
      </c>
      <c r="E20" s="51"/>
    </row>
    <row r="21" spans="1:5" ht="15.75" x14ac:dyDescent="0.2">
      <c r="A21" s="29"/>
      <c r="B21" s="28"/>
      <c r="C21" s="28"/>
      <c r="D21" s="28"/>
      <c r="E21" s="51"/>
    </row>
    <row r="22" spans="1:5" ht="15.75" x14ac:dyDescent="0.2">
      <c r="A22" s="29" t="str">
        <f>CONCATENATE("Actual Tax Rates for the ",E1-1," Budget:")</f>
        <v>Actual Tax Rates for the 2023 Budget:</v>
      </c>
      <c r="B22" s="28"/>
      <c r="C22" s="28"/>
      <c r="D22" s="28"/>
      <c r="E22" s="51"/>
    </row>
    <row r="23" spans="1:5" ht="15.75" x14ac:dyDescent="0.2">
      <c r="A23" s="635" t="s">
        <v>46</v>
      </c>
      <c r="B23" s="636"/>
      <c r="C23" s="40"/>
      <c r="D23" s="68" t="s">
        <v>98</v>
      </c>
      <c r="E23" s="51"/>
    </row>
    <row r="24" spans="1:5" ht="15.75" x14ac:dyDescent="0.2">
      <c r="A24" s="42" t="s">
        <v>33</v>
      </c>
      <c r="B24" s="43"/>
      <c r="C24" s="28"/>
      <c r="D24" s="461">
        <v>39.895000000000003</v>
      </c>
      <c r="E24" s="51"/>
    </row>
    <row r="25" spans="1:5" ht="15.75" x14ac:dyDescent="0.2">
      <c r="A25" s="65" t="s">
        <v>16</v>
      </c>
      <c r="B25" s="44"/>
      <c r="C25" s="28"/>
      <c r="D25" s="461">
        <v>2.327</v>
      </c>
      <c r="E25" s="51"/>
    </row>
    <row r="26" spans="1:5" ht="15.75" x14ac:dyDescent="0.2">
      <c r="A26" s="65" t="str">
        <f>IF(inputPrYr!B20&gt;" ",(inputPrYr!B20)," ")</f>
        <v>Library</v>
      </c>
      <c r="B26" s="44"/>
      <c r="C26" s="28"/>
      <c r="D26" s="461">
        <v>4.7750000000000004</v>
      </c>
      <c r="E26" s="51"/>
    </row>
    <row r="27" spans="1:5" ht="15.75" x14ac:dyDescent="0.2">
      <c r="A27" s="65" t="str">
        <f>IF(inputPrYr!B22&gt;" ",(inputPrYr!B22)," ")</f>
        <v>Employee Benefits</v>
      </c>
      <c r="B27" s="44"/>
      <c r="C27" s="28"/>
      <c r="D27" s="461">
        <v>5.8029999999999999</v>
      </c>
      <c r="E27" s="51"/>
    </row>
    <row r="28" spans="1:5" ht="15.75" x14ac:dyDescent="0.2">
      <c r="A28" s="65" t="str">
        <f>IF(inputPrYr!B23&gt;" ",(inputPrYr!B23)," ")</f>
        <v>Library Employee Benefits</v>
      </c>
      <c r="B28" s="44"/>
      <c r="C28" s="28"/>
      <c r="D28" s="461">
        <v>0.40699999999999997</v>
      </c>
      <c r="E28" s="51"/>
    </row>
    <row r="29" spans="1:5" ht="15.75" x14ac:dyDescent="0.2">
      <c r="A29" s="65" t="str">
        <f>IF(inputPrYr!B24&gt;" ",(inputPrYr!B24)," ")</f>
        <v>Special Tort Claim</v>
      </c>
      <c r="B29" s="69"/>
      <c r="C29" s="28"/>
      <c r="D29" s="462">
        <v>1.748</v>
      </c>
      <c r="E29" s="51"/>
    </row>
    <row r="30" spans="1:5" ht="15.75" x14ac:dyDescent="0.2">
      <c r="A30" s="65" t="str">
        <f>IF(inputPrYr!B25&gt;" ",(inputPrYr!B25)," ")</f>
        <v xml:space="preserve"> </v>
      </c>
      <c r="B30" s="69"/>
      <c r="C30" s="28"/>
      <c r="D30" s="462"/>
      <c r="E30" s="51"/>
    </row>
    <row r="31" spans="1:5" ht="15.75" x14ac:dyDescent="0.2">
      <c r="A31" s="65" t="str">
        <f>IF(inputPrYr!B26&gt;" ",(inputPrYr!B26)," ")</f>
        <v xml:space="preserve"> </v>
      </c>
      <c r="B31" s="69"/>
      <c r="C31" s="28"/>
      <c r="D31" s="462"/>
      <c r="E31" s="51"/>
    </row>
    <row r="32" spans="1:5" ht="15.75" x14ac:dyDescent="0.2">
      <c r="A32" s="65" t="str">
        <f>IF(inputPrYr!B27&gt;" ",(inputPrYr!B27)," ")</f>
        <v xml:space="preserve"> </v>
      </c>
      <c r="B32" s="69"/>
      <c r="C32" s="28"/>
      <c r="D32" s="462"/>
      <c r="E32" s="51"/>
    </row>
    <row r="33" spans="1:5" ht="15.75" x14ac:dyDescent="0.2">
      <c r="A33" s="65" t="str">
        <f>IF(inputPrYr!B28&gt;" ",(inputPrYr!B28)," ")</f>
        <v xml:space="preserve"> </v>
      </c>
      <c r="B33" s="69"/>
      <c r="C33" s="28"/>
      <c r="D33" s="462"/>
      <c r="E33" s="51"/>
    </row>
    <row r="34" spans="1:5" ht="15.75" x14ac:dyDescent="0.2">
      <c r="A34" s="65" t="str">
        <f>IF(inputPrYr!B29&gt;" ",(inputPrYr!B29)," ")</f>
        <v xml:space="preserve"> </v>
      </c>
      <c r="B34" s="69"/>
      <c r="C34" s="28"/>
      <c r="D34" s="462"/>
      <c r="E34" s="51"/>
    </row>
    <row r="35" spans="1:5" ht="15.75" x14ac:dyDescent="0.2">
      <c r="A35" s="65" t="str">
        <f>IF(inputPrYr!B30&gt;" ",(inputPrYr!B30)," ")</f>
        <v xml:space="preserve"> </v>
      </c>
      <c r="B35" s="69"/>
      <c r="C35" s="28"/>
      <c r="D35" s="462"/>
      <c r="E35" s="51"/>
    </row>
    <row r="36" spans="1:5" ht="15.75" x14ac:dyDescent="0.2">
      <c r="A36" s="65" t="str">
        <f>IF(inputPrYr!B31&gt;" ",(inputPrYr!B31)," ")</f>
        <v xml:space="preserve"> </v>
      </c>
      <c r="B36" s="44"/>
      <c r="C36" s="28"/>
      <c r="D36" s="461"/>
      <c r="E36" s="51"/>
    </row>
    <row r="37" spans="1:5" ht="15.75" x14ac:dyDescent="0.2">
      <c r="A37" s="40"/>
      <c r="B37" s="28"/>
      <c r="C37" s="184" t="s">
        <v>35</v>
      </c>
      <c r="D37" s="368">
        <f>SUM(D24:D36)</f>
        <v>54.954999999999991</v>
      </c>
      <c r="E37" s="40"/>
    </row>
    <row r="38" spans="1:5" x14ac:dyDescent="0.2">
      <c r="A38" s="40"/>
      <c r="B38" s="40"/>
      <c r="C38" s="40"/>
      <c r="D38" s="40"/>
      <c r="E38" s="40"/>
    </row>
    <row r="39" spans="1:5" ht="15.75" x14ac:dyDescent="0.2">
      <c r="A39" s="43" t="str">
        <f>CONCATENATE("Final Assessed Valuation from the November 1, ",E1-2," Abstract")</f>
        <v>Final Assessed Valuation from the November 1, 2022 Abstract</v>
      </c>
      <c r="B39" s="70"/>
      <c r="C39" s="70"/>
      <c r="D39" s="70"/>
      <c r="E39" s="61">
        <v>19345400</v>
      </c>
    </row>
    <row r="40" spans="1:5" x14ac:dyDescent="0.2">
      <c r="A40" s="40"/>
      <c r="B40" s="40"/>
      <c r="C40" s="40"/>
      <c r="D40" s="40"/>
      <c r="E40" s="40"/>
    </row>
    <row r="41" spans="1:5" ht="15.75" x14ac:dyDescent="0.2">
      <c r="A41" s="491" t="str">
        <f>CONCATENATE("From the County Treasurer's Budget Information - ",E1," Budget Year Estimates:")</f>
        <v>From the County Treasurer's Budget Information - 2024 Budget Year Estimates:</v>
      </c>
      <c r="B41" s="62"/>
      <c r="C41" s="62"/>
      <c r="D41" s="492"/>
      <c r="E41" s="56"/>
    </row>
    <row r="42" spans="1:5" ht="15.75" x14ac:dyDescent="0.2">
      <c r="A42" s="42" t="s">
        <v>36</v>
      </c>
      <c r="B42" s="43"/>
      <c r="C42" s="43"/>
      <c r="D42" s="71"/>
      <c r="E42" s="501">
        <v>89244</v>
      </c>
    </row>
    <row r="43" spans="1:5" ht="15.75" x14ac:dyDescent="0.2">
      <c r="A43" s="65" t="s">
        <v>37</v>
      </c>
      <c r="B43" s="44"/>
      <c r="C43" s="44"/>
      <c r="D43" s="72"/>
      <c r="E43" s="501">
        <v>1945</v>
      </c>
    </row>
    <row r="44" spans="1:5" ht="15.75" x14ac:dyDescent="0.2">
      <c r="A44" s="65" t="s">
        <v>160</v>
      </c>
      <c r="B44" s="44"/>
      <c r="C44" s="44"/>
      <c r="D44" s="72"/>
      <c r="E44" s="501">
        <v>722</v>
      </c>
    </row>
    <row r="45" spans="1:5" ht="15.75" x14ac:dyDescent="0.2">
      <c r="A45" s="503" t="s">
        <v>517</v>
      </c>
      <c r="B45" s="44"/>
      <c r="C45" s="44"/>
      <c r="D45" s="72"/>
      <c r="E45" s="501">
        <v>2571</v>
      </c>
    </row>
    <row r="46" spans="1:5" ht="15.75" x14ac:dyDescent="0.2">
      <c r="A46" s="503" t="s">
        <v>518</v>
      </c>
      <c r="B46" s="44"/>
      <c r="C46" s="44"/>
      <c r="D46" s="72"/>
      <c r="E46" s="501">
        <v>447</v>
      </c>
    </row>
    <row r="47" spans="1:5" ht="15.75" x14ac:dyDescent="0.2">
      <c r="A47" s="65" t="s">
        <v>161</v>
      </c>
      <c r="B47" s="44"/>
      <c r="C47" s="44"/>
      <c r="D47" s="72"/>
      <c r="E47" s="39"/>
    </row>
    <row r="48" spans="1:5" ht="15.75" x14ac:dyDescent="0.2">
      <c r="A48" s="65" t="s">
        <v>162</v>
      </c>
      <c r="B48" s="44"/>
      <c r="C48" s="44"/>
      <c r="D48" s="72"/>
      <c r="E48" s="39"/>
    </row>
    <row r="49" spans="1:5" ht="15.75" x14ac:dyDescent="0.2">
      <c r="A49" s="28" t="s">
        <v>163</v>
      </c>
      <c r="B49" s="28"/>
      <c r="C49" s="28"/>
      <c r="D49" s="28"/>
      <c r="E49" s="28"/>
    </row>
    <row r="50" spans="1:5" ht="15.75" x14ac:dyDescent="0.2">
      <c r="A50" s="27" t="s">
        <v>54</v>
      </c>
      <c r="B50" s="33"/>
      <c r="C50" s="33"/>
      <c r="D50" s="28"/>
      <c r="E50" s="28"/>
    </row>
    <row r="51" spans="1:5" ht="15.75" x14ac:dyDescent="0.2">
      <c r="A51" s="29" t="str">
        <f>CONCATENATE("Actual Delinquency for ",E1-3," Tax - (e.g. rate .01213 = 1.213%;  key in 1.2)")</f>
        <v>Actual Delinquency for 2021 Tax - (e.g. rate .01213 = 1.213%;  key in 1.2)</v>
      </c>
      <c r="B51" s="28"/>
      <c r="C51" s="28"/>
      <c r="D51" s="28"/>
      <c r="E51" s="43"/>
    </row>
    <row r="52" spans="1:5" ht="15.75" x14ac:dyDescent="0.2">
      <c r="A52" s="42" t="s">
        <v>420</v>
      </c>
      <c r="B52" s="42"/>
      <c r="C52" s="43"/>
      <c r="D52" s="43"/>
      <c r="E52" s="498">
        <v>1.4E-2</v>
      </c>
    </row>
    <row r="53" spans="1:5" ht="15.75" x14ac:dyDescent="0.2">
      <c r="A53" s="28"/>
      <c r="B53" s="28"/>
      <c r="C53" s="28"/>
      <c r="D53" s="28"/>
      <c r="E53" s="28"/>
    </row>
    <row r="54" spans="1:5" ht="15.75" x14ac:dyDescent="0.2">
      <c r="A54" s="494" t="s">
        <v>674</v>
      </c>
      <c r="B54" s="495"/>
      <c r="C54" s="496"/>
      <c r="D54" s="496"/>
      <c r="E54" s="497"/>
    </row>
    <row r="55" spans="1:5" ht="15.75" x14ac:dyDescent="0.2">
      <c r="A55" s="43" t="str">
        <f>CONCATENATE("",E1," State Distribution for Kansas Gas Tax")</f>
        <v>2024 State Distribution for Kansas Gas Tax</v>
      </c>
      <c r="B55" s="70"/>
      <c r="C55" s="70"/>
      <c r="D55" s="73"/>
      <c r="E55" s="493"/>
    </row>
    <row r="56" spans="1:5" ht="15.75" x14ac:dyDescent="0.2">
      <c r="A56" s="44" t="str">
        <f>CONCATENATE("",E1," County Transfers for Gas**")</f>
        <v>2024 County Transfers for Gas**</v>
      </c>
      <c r="B56" s="74"/>
      <c r="C56" s="74"/>
      <c r="D56" s="75"/>
      <c r="E56" s="61"/>
    </row>
    <row r="57" spans="1:5" ht="15.75" x14ac:dyDescent="0.2">
      <c r="A57" s="44" t="str">
        <f>CONCATENATE("Adjusted ",E1-1," State Distribution for Kansas Gas Tax")</f>
        <v>Adjusted 2023 State Distribution for Kansas Gas Tax</v>
      </c>
      <c r="B57" s="74"/>
      <c r="C57" s="74"/>
      <c r="D57" s="75"/>
      <c r="E57" s="61"/>
    </row>
    <row r="58" spans="1:5" ht="15.75" x14ac:dyDescent="0.2">
      <c r="A58" s="44" t="str">
        <f>CONCATENATE("Adjusted ",E1-1," County Transfers for Gas**")</f>
        <v>Adjusted 2023 County Transfers for Gas**</v>
      </c>
      <c r="B58" s="74"/>
      <c r="C58" s="74"/>
      <c r="D58" s="75"/>
      <c r="E58" s="61"/>
    </row>
    <row r="59" spans="1:5" x14ac:dyDescent="0.2">
      <c r="A59" s="648" t="s">
        <v>207</v>
      </c>
      <c r="B59" s="649"/>
      <c r="C59" s="649"/>
      <c r="D59" s="649"/>
      <c r="E59" s="649"/>
    </row>
    <row r="60" spans="1:5" x14ac:dyDescent="0.2">
      <c r="A60" s="76" t="s">
        <v>208</v>
      </c>
      <c r="B60" s="76"/>
      <c r="C60" s="76"/>
      <c r="D60" s="76"/>
      <c r="E60" s="76"/>
    </row>
    <row r="61" spans="1:5" x14ac:dyDescent="0.2">
      <c r="A61" s="40"/>
      <c r="B61" s="40"/>
      <c r="C61" s="40"/>
      <c r="D61" s="40"/>
      <c r="E61" s="40"/>
    </row>
    <row r="62" spans="1:5" ht="15.75" x14ac:dyDescent="0.2">
      <c r="A62" s="650" t="str">
        <f>CONCATENATE("From the ",E1-2," Budget Certificate Page")</f>
        <v>From the 2022 Budget Certificate Page</v>
      </c>
      <c r="B62" s="651"/>
      <c r="C62" s="40"/>
      <c r="D62" s="40"/>
      <c r="E62" s="40"/>
    </row>
    <row r="63" spans="1:5" ht="15.75" x14ac:dyDescent="0.2">
      <c r="A63" s="34"/>
      <c r="B63" s="34" t="str">
        <f>CONCATENATE("",E1-2," Expenditure Amounts")</f>
        <v>2022 Expenditure Amounts</v>
      </c>
      <c r="C63" s="646" t="str">
        <f>CONCATENATE("Note: If the ",E1-2," budget was amended, then the")</f>
        <v>Note: If the 2022 budget was amended, then the</v>
      </c>
      <c r="D63" s="647"/>
      <c r="E63" s="647"/>
    </row>
    <row r="64" spans="1:5" ht="15.75" x14ac:dyDescent="0.2">
      <c r="A64" s="77" t="s">
        <v>4</v>
      </c>
      <c r="B64" s="77" t="s">
        <v>5</v>
      </c>
      <c r="C64" s="78" t="s">
        <v>6</v>
      </c>
      <c r="D64" s="79"/>
      <c r="E64" s="79"/>
    </row>
    <row r="65" spans="1:5" ht="15.75" x14ac:dyDescent="0.2">
      <c r="A65" s="52" t="str">
        <f>inputPrYr!B18</f>
        <v>General</v>
      </c>
      <c r="B65" s="61">
        <v>1215896</v>
      </c>
      <c r="C65" s="78" t="s">
        <v>7</v>
      </c>
      <c r="D65" s="79"/>
      <c r="E65" s="79"/>
    </row>
    <row r="66" spans="1:5" ht="15.75" x14ac:dyDescent="0.2">
      <c r="A66" s="52" t="str">
        <f>inputPrYr!B19</f>
        <v>Debt Service</v>
      </c>
      <c r="B66" s="61">
        <v>45000</v>
      </c>
      <c r="C66" s="78"/>
      <c r="D66" s="79"/>
      <c r="E66" s="79"/>
    </row>
    <row r="67" spans="1:5" ht="15.75" x14ac:dyDescent="0.2">
      <c r="A67" s="52" t="str">
        <f>inputPrYr!B20</f>
        <v>Library</v>
      </c>
      <c r="B67" s="61">
        <v>92883</v>
      </c>
      <c r="C67" s="40"/>
      <c r="D67" s="40"/>
      <c r="E67" s="40"/>
    </row>
    <row r="68" spans="1:5" ht="15.75" x14ac:dyDescent="0.2">
      <c r="A68" s="52" t="str">
        <f>inputPrYr!B22</f>
        <v>Employee Benefits</v>
      </c>
      <c r="B68" s="61">
        <v>128000</v>
      </c>
      <c r="C68" s="40"/>
      <c r="D68" s="40"/>
      <c r="E68" s="40"/>
    </row>
    <row r="69" spans="1:5" ht="15.75" x14ac:dyDescent="0.2">
      <c r="A69" s="52" t="str">
        <f>inputPrYr!B23</f>
        <v>Library Employee Benefits</v>
      </c>
      <c r="B69" s="61">
        <v>8000</v>
      </c>
      <c r="C69" s="40"/>
      <c r="D69" s="40"/>
      <c r="E69" s="40"/>
    </row>
    <row r="70" spans="1:5" ht="15.75" x14ac:dyDescent="0.2">
      <c r="A70" s="52" t="str">
        <f>inputPrYr!B24</f>
        <v>Special Tort Claim</v>
      </c>
      <c r="B70" s="61">
        <v>33920</v>
      </c>
      <c r="C70" s="40"/>
      <c r="D70" s="40"/>
      <c r="E70" s="40"/>
    </row>
    <row r="71" spans="1:5" ht="15.75" x14ac:dyDescent="0.2">
      <c r="A71" s="52">
        <f>inputPrYr!B25</f>
        <v>0</v>
      </c>
      <c r="B71" s="61"/>
      <c r="C71" s="40"/>
      <c r="D71" s="40"/>
      <c r="E71" s="40"/>
    </row>
    <row r="72" spans="1:5" ht="15.75" x14ac:dyDescent="0.2">
      <c r="A72" s="52">
        <f>inputPrYr!B26</f>
        <v>0</v>
      </c>
      <c r="B72" s="61"/>
      <c r="C72" s="40"/>
      <c r="D72" s="40"/>
      <c r="E72" s="40"/>
    </row>
    <row r="73" spans="1:5" ht="15.75" x14ac:dyDescent="0.2">
      <c r="A73" s="52">
        <f>inputPrYr!B27</f>
        <v>0</v>
      </c>
      <c r="B73" s="61"/>
      <c r="C73" s="40"/>
      <c r="D73" s="40"/>
      <c r="E73" s="40"/>
    </row>
    <row r="74" spans="1:5" ht="15.75" x14ac:dyDescent="0.2">
      <c r="A74" s="52">
        <f>inputPrYr!B28</f>
        <v>0</v>
      </c>
      <c r="B74" s="61"/>
      <c r="C74" s="40"/>
      <c r="D74" s="40"/>
      <c r="E74" s="40"/>
    </row>
    <row r="75" spans="1:5" ht="15.75" x14ac:dyDescent="0.2">
      <c r="A75" s="52">
        <f>inputPrYr!B29</f>
        <v>0</v>
      </c>
      <c r="B75" s="61"/>
      <c r="C75" s="40"/>
      <c r="D75" s="40"/>
      <c r="E75" s="40"/>
    </row>
    <row r="76" spans="1:5" ht="15.75" x14ac:dyDescent="0.2">
      <c r="A76" s="52">
        <f>inputPrYr!B30</f>
        <v>0</v>
      </c>
      <c r="B76" s="61"/>
      <c r="C76" s="40"/>
      <c r="D76" s="40"/>
      <c r="E76" s="40"/>
    </row>
    <row r="77" spans="1:5" ht="15.75" x14ac:dyDescent="0.2">
      <c r="A77" s="52">
        <f>inputPrYr!B31</f>
        <v>0</v>
      </c>
      <c r="B77" s="61"/>
      <c r="C77" s="40"/>
      <c r="D77" s="40"/>
      <c r="E77" s="40"/>
    </row>
    <row r="78" spans="1:5" ht="15.75" x14ac:dyDescent="0.2">
      <c r="A78" s="52" t="str">
        <f>inputPrYr!B35</f>
        <v>Special Highway</v>
      </c>
      <c r="B78" s="61">
        <v>50793</v>
      </c>
      <c r="C78" s="40"/>
      <c r="D78" s="40"/>
      <c r="E78" s="40"/>
    </row>
    <row r="79" spans="1:5" ht="15.75" x14ac:dyDescent="0.2">
      <c r="A79" s="52" t="str">
        <f>inputPrYr!B36</f>
        <v>Building Capital Improvement</v>
      </c>
      <c r="B79" s="61">
        <v>66364</v>
      </c>
      <c r="C79" s="40"/>
      <c r="D79" s="40"/>
      <c r="E79" s="40"/>
    </row>
    <row r="80" spans="1:5" ht="15.75" x14ac:dyDescent="0.2">
      <c r="A80" s="52" t="str">
        <f>inputPrYr!B37</f>
        <v>Cemetary Perpetual Care</v>
      </c>
      <c r="B80" s="61">
        <v>5000</v>
      </c>
      <c r="C80" s="40"/>
      <c r="D80" s="40"/>
      <c r="E80" s="40"/>
    </row>
    <row r="81" spans="1:5" ht="15.75" x14ac:dyDescent="0.2">
      <c r="A81" s="52">
        <f>inputPrYr!B38</f>
        <v>0</v>
      </c>
      <c r="B81" s="61"/>
      <c r="C81" s="40"/>
      <c r="D81" s="40"/>
      <c r="E81" s="40"/>
    </row>
    <row r="82" spans="1:5" ht="15.75" x14ac:dyDescent="0.2">
      <c r="A82" s="52">
        <f>inputPrYr!B39</f>
        <v>0</v>
      </c>
      <c r="B82" s="61"/>
      <c r="C82" s="40"/>
      <c r="D82" s="40"/>
      <c r="E82" s="40"/>
    </row>
    <row r="83" spans="1:5" ht="15.75" x14ac:dyDescent="0.2">
      <c r="A83" s="52">
        <f>inputPrYr!B40</f>
        <v>0</v>
      </c>
      <c r="B83" s="61"/>
      <c r="C83" s="40"/>
      <c r="D83" s="40"/>
      <c r="E83" s="40"/>
    </row>
    <row r="84" spans="1:5" ht="15.75" x14ac:dyDescent="0.2">
      <c r="A84" s="52">
        <f>inputPrYr!B41</f>
        <v>0</v>
      </c>
      <c r="B84" s="61"/>
      <c r="C84" s="40"/>
      <c r="D84" s="40"/>
      <c r="E84" s="40"/>
    </row>
    <row r="85" spans="1:5" ht="15.75" x14ac:dyDescent="0.2">
      <c r="A85" s="52">
        <f>inputPrYr!B42</f>
        <v>0</v>
      </c>
      <c r="B85" s="61"/>
      <c r="C85" s="40"/>
      <c r="D85" s="40"/>
      <c r="E85" s="40"/>
    </row>
    <row r="86" spans="1:5" ht="15.75" x14ac:dyDescent="0.2">
      <c r="A86" s="52">
        <f>inputPrYr!B43</f>
        <v>0</v>
      </c>
      <c r="B86" s="61"/>
      <c r="C86" s="40"/>
      <c r="D86" s="40"/>
      <c r="E86" s="40"/>
    </row>
    <row r="87" spans="1:5" ht="15.75" x14ac:dyDescent="0.2">
      <c r="A87" s="52">
        <f>inputPrYr!B44</f>
        <v>0</v>
      </c>
      <c r="B87" s="61"/>
      <c r="C87" s="40"/>
      <c r="D87" s="40"/>
      <c r="E87" s="40"/>
    </row>
    <row r="88" spans="1:5" ht="15.75" x14ac:dyDescent="0.2">
      <c r="A88" s="52">
        <f>inputPrYr!B45</f>
        <v>0</v>
      </c>
      <c r="B88" s="61"/>
      <c r="C88" s="40"/>
      <c r="D88" s="40"/>
      <c r="E88" s="40"/>
    </row>
    <row r="89" spans="1:5" ht="15.75" x14ac:dyDescent="0.2">
      <c r="A89" s="52">
        <f>inputPrYr!B46</f>
        <v>0</v>
      </c>
      <c r="B89" s="61"/>
      <c r="C89" s="40"/>
      <c r="D89" s="40"/>
      <c r="E89" s="40"/>
    </row>
    <row r="90" spans="1:5" ht="15.75" x14ac:dyDescent="0.2">
      <c r="A90" s="52">
        <f>inputPrYr!B47</f>
        <v>0</v>
      </c>
      <c r="B90" s="61"/>
      <c r="C90" s="40"/>
      <c r="D90" s="40"/>
      <c r="E90" s="40"/>
    </row>
    <row r="91" spans="1:5" ht="15.75" x14ac:dyDescent="0.2">
      <c r="A91" s="52">
        <f>inputPrYr!B48</f>
        <v>0</v>
      </c>
      <c r="B91" s="61"/>
      <c r="C91" s="40"/>
      <c r="D91" s="40"/>
      <c r="E91" s="40"/>
    </row>
    <row r="92" spans="1:5" ht="15.75" x14ac:dyDescent="0.2">
      <c r="A92" s="52">
        <f>inputPrYr!B49</f>
        <v>0</v>
      </c>
      <c r="B92" s="61"/>
      <c r="C92" s="40"/>
      <c r="D92" s="40"/>
      <c r="E92" s="40"/>
    </row>
    <row r="93" spans="1:5" ht="15.75" x14ac:dyDescent="0.2">
      <c r="A93" s="52">
        <f>inputPrYr!B50</f>
        <v>0</v>
      </c>
      <c r="B93" s="61"/>
      <c r="C93" s="40"/>
      <c r="D93" s="40"/>
      <c r="E93" s="40"/>
    </row>
    <row r="94" spans="1:5" ht="15.75" x14ac:dyDescent="0.2">
      <c r="A94" s="52" t="str">
        <f>inputPrYr!B52</f>
        <v>Combined Sales Tax Improv</v>
      </c>
      <c r="B94" s="61">
        <v>235000</v>
      </c>
      <c r="C94" s="40"/>
      <c r="D94" s="40"/>
      <c r="E94" s="40"/>
    </row>
    <row r="95" spans="1:5" ht="15.75" x14ac:dyDescent="0.2">
      <c r="A95" s="52" t="str">
        <f>inputPrYr!B53</f>
        <v>Community Enhanc Sales Tax</v>
      </c>
      <c r="B95" s="61">
        <v>192000</v>
      </c>
      <c r="C95" s="40"/>
      <c r="D95" s="40"/>
      <c r="E95" s="40"/>
    </row>
    <row r="96" spans="1:5" ht="15.75" x14ac:dyDescent="0.2">
      <c r="A96" s="52" t="str">
        <f>inputPrYr!B54</f>
        <v>Water/Sewer/Refuse Utitly</v>
      </c>
      <c r="B96" s="61">
        <v>1136443</v>
      </c>
      <c r="C96" s="40"/>
      <c r="D96" s="40"/>
      <c r="E96" s="40"/>
    </row>
    <row r="97" spans="1:5" ht="15.75" x14ac:dyDescent="0.2">
      <c r="A97" s="52">
        <f>inputPrYr!B55</f>
        <v>0</v>
      </c>
      <c r="B97" s="61"/>
      <c r="C97" s="40"/>
      <c r="D97" s="40"/>
      <c r="E97" s="40"/>
    </row>
  </sheetData>
  <sheetProtection sheet="1" objects="1" scenarios="1"/>
  <mergeCells count="5">
    <mergeCell ref="C63:E63"/>
    <mergeCell ref="A23:B23"/>
    <mergeCell ref="A59:E59"/>
    <mergeCell ref="A3:E3"/>
    <mergeCell ref="A62:B62"/>
  </mergeCells>
  <phoneticPr fontId="8" type="noConversion"/>
  <pageMargins left="0.75" right="0.75" top="1" bottom="1" header="0.5" footer="0.5"/>
  <pageSetup scale="48" orientation="portrait"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3" sqref="A3:H3"/>
    </sheetView>
  </sheetViews>
  <sheetFormatPr defaultRowHeight="15" x14ac:dyDescent="0.2"/>
  <sheetData>
    <row r="1" spans="1:8" ht="15.75" x14ac:dyDescent="0.25">
      <c r="A1" s="759" t="s">
        <v>711</v>
      </c>
      <c r="B1" s="759"/>
      <c r="C1" s="759"/>
      <c r="D1" s="759"/>
      <c r="E1" s="759"/>
      <c r="F1" s="759"/>
      <c r="G1" s="759"/>
      <c r="H1" s="759"/>
    </row>
    <row r="2" spans="1:8" ht="15.75" x14ac:dyDescent="0.25">
      <c r="A2" s="1"/>
      <c r="B2" s="1"/>
      <c r="C2" s="1"/>
      <c r="D2" s="1"/>
      <c r="E2" s="1"/>
      <c r="F2" s="1"/>
      <c r="G2" s="1"/>
      <c r="H2" s="1"/>
    </row>
    <row r="3" spans="1:8" ht="52.5" customHeight="1" x14ac:dyDescent="0.25">
      <c r="A3" s="760" t="s">
        <v>712</v>
      </c>
      <c r="B3" s="760"/>
      <c r="C3" s="760"/>
      <c r="D3" s="760"/>
      <c r="E3" s="760"/>
      <c r="F3" s="760"/>
      <c r="G3" s="760"/>
      <c r="H3" s="760"/>
    </row>
    <row r="4" spans="1:8" ht="15.75" x14ac:dyDescent="0.25">
      <c r="A4" s="1"/>
      <c r="B4" s="1"/>
      <c r="C4" s="1"/>
      <c r="D4" s="1"/>
      <c r="E4" s="1"/>
      <c r="F4" s="1"/>
      <c r="G4" s="1"/>
      <c r="H4" s="1"/>
    </row>
    <row r="5" spans="1:8" ht="52.5" customHeight="1" x14ac:dyDescent="0.25">
      <c r="A5" s="572"/>
      <c r="B5" s="761" t="s">
        <v>713</v>
      </c>
      <c r="C5" s="761"/>
      <c r="D5" s="761"/>
      <c r="E5" s="761"/>
      <c r="F5" s="761"/>
      <c r="G5" s="761"/>
      <c r="H5" s="761"/>
    </row>
    <row r="6" spans="1:8" ht="15.75" x14ac:dyDescent="0.25">
      <c r="A6" s="1"/>
      <c r="B6" s="1"/>
      <c r="C6" s="1"/>
      <c r="D6" s="1"/>
      <c r="E6" s="1"/>
      <c r="F6" s="1"/>
      <c r="G6" s="1"/>
      <c r="H6" s="1"/>
    </row>
    <row r="7" spans="1:8" ht="32.25" customHeight="1" x14ac:dyDescent="0.25">
      <c r="A7" s="572"/>
      <c r="B7" s="761" t="s">
        <v>714</v>
      </c>
      <c r="C7" s="761"/>
      <c r="D7" s="761"/>
      <c r="E7" s="761"/>
      <c r="F7" s="761"/>
      <c r="G7" s="761"/>
      <c r="H7" s="761"/>
    </row>
    <row r="8" spans="1:8" ht="15.75" x14ac:dyDescent="0.25">
      <c r="A8" s="1"/>
      <c r="B8" s="1"/>
      <c r="C8" s="1"/>
      <c r="D8" s="1"/>
      <c r="E8" s="1"/>
      <c r="F8" s="1"/>
      <c r="G8" s="1"/>
      <c r="H8" s="1"/>
    </row>
    <row r="9" spans="1:8" ht="15.75" x14ac:dyDescent="0.25">
      <c r="A9" s="762" t="s">
        <v>715</v>
      </c>
      <c r="B9" s="762"/>
      <c r="C9" s="762"/>
      <c r="D9" s="762"/>
      <c r="E9" s="762"/>
      <c r="F9" s="762"/>
      <c r="G9" s="762"/>
      <c r="H9" s="762"/>
    </row>
    <row r="10" spans="1:8" ht="15.75" x14ac:dyDescent="0.25">
      <c r="A10" s="1"/>
      <c r="B10" s="1"/>
      <c r="C10" s="1"/>
      <c r="D10" s="1"/>
      <c r="E10" s="1"/>
      <c r="F10" s="1"/>
      <c r="G10" s="1"/>
      <c r="H10" s="1"/>
    </row>
    <row r="11" spans="1:8" ht="15.75" x14ac:dyDescent="0.25">
      <c r="A11" s="1"/>
      <c r="B11" s="1"/>
      <c r="C11" s="1"/>
      <c r="D11" s="1"/>
      <c r="E11" s="1"/>
      <c r="F11" s="1"/>
      <c r="G11" s="1"/>
      <c r="H11" s="1"/>
    </row>
    <row r="12" spans="1:8" ht="15.75" x14ac:dyDescent="0.25">
      <c r="A12" s="1"/>
      <c r="B12" s="1"/>
      <c r="C12" s="1"/>
      <c r="D12" s="1"/>
      <c r="E12" s="1"/>
      <c r="F12" s="1"/>
      <c r="G12" s="1"/>
      <c r="H12" s="1"/>
    </row>
    <row r="13" spans="1:8" ht="15.75" x14ac:dyDescent="0.25">
      <c r="A13" s="1" t="s">
        <v>716</v>
      </c>
      <c r="B13" s="1"/>
      <c r="C13" s="1"/>
      <c r="D13" s="1"/>
      <c r="E13" s="1"/>
      <c r="F13" s="572"/>
      <c r="G13" s="572"/>
      <c r="H13" s="572"/>
    </row>
    <row r="14" spans="1:8" ht="15.75" x14ac:dyDescent="0.25">
      <c r="A14" s="1"/>
      <c r="B14" s="1"/>
      <c r="C14" s="1"/>
      <c r="D14" s="1"/>
      <c r="E14" s="1"/>
      <c r="F14" s="1" t="s">
        <v>717</v>
      </c>
    </row>
  </sheetData>
  <sheetProtection sheet="1" objects="1" scenarios="1"/>
  <mergeCells count="5">
    <mergeCell ref="A1:H1"/>
    <mergeCell ref="A3:H3"/>
    <mergeCell ref="B5:H5"/>
    <mergeCell ref="B7:H7"/>
    <mergeCell ref="A9:H9"/>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sqref="A1:G1"/>
    </sheetView>
  </sheetViews>
  <sheetFormatPr defaultRowHeight="15.75" x14ac:dyDescent="0.25"/>
  <cols>
    <col min="1" max="3" width="11.5546875" style="621" customWidth="1"/>
    <col min="4" max="4" width="12.109375" style="621" customWidth="1"/>
    <col min="5" max="7" width="8.6640625" style="621" customWidth="1"/>
    <col min="8" max="256" width="8.88671875" style="621"/>
    <col min="257" max="260" width="11.5546875" style="621" customWidth="1"/>
    <col min="261" max="263" width="10.5546875" style="621" customWidth="1"/>
    <col min="264" max="512" width="8.88671875" style="621"/>
    <col min="513" max="516" width="11.5546875" style="621" customWidth="1"/>
    <col min="517" max="519" width="10.5546875" style="621" customWidth="1"/>
    <col min="520" max="768" width="8.88671875" style="621"/>
    <col min="769" max="772" width="11.5546875" style="621" customWidth="1"/>
    <col min="773" max="775" width="10.5546875" style="621" customWidth="1"/>
    <col min="776" max="1024" width="8.88671875" style="621"/>
    <col min="1025" max="1028" width="11.5546875" style="621" customWidth="1"/>
    <col min="1029" max="1031" width="10.5546875" style="621" customWidth="1"/>
    <col min="1032" max="1280" width="8.88671875" style="621"/>
    <col min="1281" max="1284" width="11.5546875" style="621" customWidth="1"/>
    <col min="1285" max="1287" width="10.5546875" style="621" customWidth="1"/>
    <col min="1288" max="1536" width="8.88671875" style="621"/>
    <col min="1537" max="1540" width="11.5546875" style="621" customWidth="1"/>
    <col min="1541" max="1543" width="10.5546875" style="621" customWidth="1"/>
    <col min="1544" max="1792" width="8.88671875" style="621"/>
    <col min="1793" max="1796" width="11.5546875" style="621" customWidth="1"/>
    <col min="1797" max="1799" width="10.5546875" style="621" customWidth="1"/>
    <col min="1800" max="2048" width="8.88671875" style="621"/>
    <col min="2049" max="2052" width="11.5546875" style="621" customWidth="1"/>
    <col min="2053" max="2055" width="10.5546875" style="621" customWidth="1"/>
    <col min="2056" max="2304" width="8.88671875" style="621"/>
    <col min="2305" max="2308" width="11.5546875" style="621" customWidth="1"/>
    <col min="2309" max="2311" width="10.5546875" style="621" customWidth="1"/>
    <col min="2312" max="2560" width="8.88671875" style="621"/>
    <col min="2561" max="2564" width="11.5546875" style="621" customWidth="1"/>
    <col min="2565" max="2567" width="10.5546875" style="621" customWidth="1"/>
    <col min="2568" max="2816" width="8.88671875" style="621"/>
    <col min="2817" max="2820" width="11.5546875" style="621" customWidth="1"/>
    <col min="2821" max="2823" width="10.5546875" style="621" customWidth="1"/>
    <col min="2824" max="3072" width="8.88671875" style="621"/>
    <col min="3073" max="3076" width="11.5546875" style="621" customWidth="1"/>
    <col min="3077" max="3079" width="10.5546875" style="621" customWidth="1"/>
    <col min="3080" max="3328" width="8.88671875" style="621"/>
    <col min="3329" max="3332" width="11.5546875" style="621" customWidth="1"/>
    <col min="3333" max="3335" width="10.5546875" style="621" customWidth="1"/>
    <col min="3336" max="3584" width="8.88671875" style="621"/>
    <col min="3585" max="3588" width="11.5546875" style="621" customWidth="1"/>
    <col min="3589" max="3591" width="10.5546875" style="621" customWidth="1"/>
    <col min="3592" max="3840" width="8.88671875" style="621"/>
    <col min="3841" max="3844" width="11.5546875" style="621" customWidth="1"/>
    <col min="3845" max="3847" width="10.5546875" style="621" customWidth="1"/>
    <col min="3848" max="4096" width="8.88671875" style="621"/>
    <col min="4097" max="4100" width="11.5546875" style="621" customWidth="1"/>
    <col min="4101" max="4103" width="10.5546875" style="621" customWidth="1"/>
    <col min="4104" max="4352" width="8.88671875" style="621"/>
    <col min="4353" max="4356" width="11.5546875" style="621" customWidth="1"/>
    <col min="4357" max="4359" width="10.5546875" style="621" customWidth="1"/>
    <col min="4360" max="4608" width="8.88671875" style="621"/>
    <col min="4609" max="4612" width="11.5546875" style="621" customWidth="1"/>
    <col min="4613" max="4615" width="10.5546875" style="621" customWidth="1"/>
    <col min="4616" max="4864" width="8.88671875" style="621"/>
    <col min="4865" max="4868" width="11.5546875" style="621" customWidth="1"/>
    <col min="4869" max="4871" width="10.5546875" style="621" customWidth="1"/>
    <col min="4872" max="5120" width="8.88671875" style="621"/>
    <col min="5121" max="5124" width="11.5546875" style="621" customWidth="1"/>
    <col min="5125" max="5127" width="10.5546875" style="621" customWidth="1"/>
    <col min="5128" max="5376" width="8.88671875" style="621"/>
    <col min="5377" max="5380" width="11.5546875" style="621" customWidth="1"/>
    <col min="5381" max="5383" width="10.5546875" style="621" customWidth="1"/>
    <col min="5384" max="5632" width="8.88671875" style="621"/>
    <col min="5633" max="5636" width="11.5546875" style="621" customWidth="1"/>
    <col min="5637" max="5639" width="10.5546875" style="621" customWidth="1"/>
    <col min="5640" max="5888" width="8.88671875" style="621"/>
    <col min="5889" max="5892" width="11.5546875" style="621" customWidth="1"/>
    <col min="5893" max="5895" width="10.5546875" style="621" customWidth="1"/>
    <col min="5896" max="6144" width="8.88671875" style="621"/>
    <col min="6145" max="6148" width="11.5546875" style="621" customWidth="1"/>
    <col min="6149" max="6151" width="10.5546875" style="621" customWidth="1"/>
    <col min="6152" max="6400" width="8.88671875" style="621"/>
    <col min="6401" max="6404" width="11.5546875" style="621" customWidth="1"/>
    <col min="6405" max="6407" width="10.5546875" style="621" customWidth="1"/>
    <col min="6408" max="6656" width="8.88671875" style="621"/>
    <col min="6657" max="6660" width="11.5546875" style="621" customWidth="1"/>
    <col min="6661" max="6663" width="10.5546875" style="621" customWidth="1"/>
    <col min="6664" max="6912" width="8.88671875" style="621"/>
    <col min="6913" max="6916" width="11.5546875" style="621" customWidth="1"/>
    <col min="6917" max="6919" width="10.5546875" style="621" customWidth="1"/>
    <col min="6920" max="7168" width="8.88671875" style="621"/>
    <col min="7169" max="7172" width="11.5546875" style="621" customWidth="1"/>
    <col min="7173" max="7175" width="10.5546875" style="621" customWidth="1"/>
    <col min="7176" max="7424" width="8.88671875" style="621"/>
    <col min="7425" max="7428" width="11.5546875" style="621" customWidth="1"/>
    <col min="7429" max="7431" width="10.5546875" style="621" customWidth="1"/>
    <col min="7432" max="7680" width="8.88671875" style="621"/>
    <col min="7681" max="7684" width="11.5546875" style="621" customWidth="1"/>
    <col min="7685" max="7687" width="10.5546875" style="621" customWidth="1"/>
    <col min="7688" max="7936" width="8.88671875" style="621"/>
    <col min="7937" max="7940" width="11.5546875" style="621" customWidth="1"/>
    <col min="7941" max="7943" width="10.5546875" style="621" customWidth="1"/>
    <col min="7944" max="8192" width="8.88671875" style="621"/>
    <col min="8193" max="8196" width="11.5546875" style="621" customWidth="1"/>
    <col min="8197" max="8199" width="10.5546875" style="621" customWidth="1"/>
    <col min="8200" max="8448" width="8.88671875" style="621"/>
    <col min="8449" max="8452" width="11.5546875" style="621" customWidth="1"/>
    <col min="8453" max="8455" width="10.5546875" style="621" customWidth="1"/>
    <col min="8456" max="8704" width="8.88671875" style="621"/>
    <col min="8705" max="8708" width="11.5546875" style="621" customWidth="1"/>
    <col min="8709" max="8711" width="10.5546875" style="621" customWidth="1"/>
    <col min="8712" max="8960" width="8.88671875" style="621"/>
    <col min="8961" max="8964" width="11.5546875" style="621" customWidth="1"/>
    <col min="8965" max="8967" width="10.5546875" style="621" customWidth="1"/>
    <col min="8968" max="9216" width="8.88671875" style="621"/>
    <col min="9217" max="9220" width="11.5546875" style="621" customWidth="1"/>
    <col min="9221" max="9223" width="10.5546875" style="621" customWidth="1"/>
    <col min="9224" max="9472" width="8.88671875" style="621"/>
    <col min="9473" max="9476" width="11.5546875" style="621" customWidth="1"/>
    <col min="9477" max="9479" width="10.5546875" style="621" customWidth="1"/>
    <col min="9480" max="9728" width="8.88671875" style="621"/>
    <col min="9729" max="9732" width="11.5546875" style="621" customWidth="1"/>
    <col min="9733" max="9735" width="10.5546875" style="621" customWidth="1"/>
    <col min="9736" max="9984" width="8.88671875" style="621"/>
    <col min="9985" max="9988" width="11.5546875" style="621" customWidth="1"/>
    <col min="9989" max="9991" width="10.5546875" style="621" customWidth="1"/>
    <col min="9992" max="10240" width="8.88671875" style="621"/>
    <col min="10241" max="10244" width="11.5546875" style="621" customWidth="1"/>
    <col min="10245" max="10247" width="10.5546875" style="621" customWidth="1"/>
    <col min="10248" max="10496" width="8.88671875" style="621"/>
    <col min="10497" max="10500" width="11.5546875" style="621" customWidth="1"/>
    <col min="10501" max="10503" width="10.5546875" style="621" customWidth="1"/>
    <col min="10504" max="10752" width="8.88671875" style="621"/>
    <col min="10753" max="10756" width="11.5546875" style="621" customWidth="1"/>
    <col min="10757" max="10759" width="10.5546875" style="621" customWidth="1"/>
    <col min="10760" max="11008" width="8.88671875" style="621"/>
    <col min="11009" max="11012" width="11.5546875" style="621" customWidth="1"/>
    <col min="11013" max="11015" width="10.5546875" style="621" customWidth="1"/>
    <col min="11016" max="11264" width="8.88671875" style="621"/>
    <col min="11265" max="11268" width="11.5546875" style="621" customWidth="1"/>
    <col min="11269" max="11271" width="10.5546875" style="621" customWidth="1"/>
    <col min="11272" max="11520" width="8.88671875" style="621"/>
    <col min="11521" max="11524" width="11.5546875" style="621" customWidth="1"/>
    <col min="11525" max="11527" width="10.5546875" style="621" customWidth="1"/>
    <col min="11528" max="11776" width="8.88671875" style="621"/>
    <col min="11777" max="11780" width="11.5546875" style="621" customWidth="1"/>
    <col min="11781" max="11783" width="10.5546875" style="621" customWidth="1"/>
    <col min="11784" max="12032" width="8.88671875" style="621"/>
    <col min="12033" max="12036" width="11.5546875" style="621" customWidth="1"/>
    <col min="12037" max="12039" width="10.5546875" style="621" customWidth="1"/>
    <col min="12040" max="12288" width="8.88671875" style="621"/>
    <col min="12289" max="12292" width="11.5546875" style="621" customWidth="1"/>
    <col min="12293" max="12295" width="10.5546875" style="621" customWidth="1"/>
    <col min="12296" max="12544" width="8.88671875" style="621"/>
    <col min="12545" max="12548" width="11.5546875" style="621" customWidth="1"/>
    <col min="12549" max="12551" width="10.5546875" style="621" customWidth="1"/>
    <col min="12552" max="12800" width="8.88671875" style="621"/>
    <col min="12801" max="12804" width="11.5546875" style="621" customWidth="1"/>
    <col min="12805" max="12807" width="10.5546875" style="621" customWidth="1"/>
    <col min="12808" max="13056" width="8.88671875" style="621"/>
    <col min="13057" max="13060" width="11.5546875" style="621" customWidth="1"/>
    <col min="13061" max="13063" width="10.5546875" style="621" customWidth="1"/>
    <col min="13064" max="13312" width="8.88671875" style="621"/>
    <col min="13313" max="13316" width="11.5546875" style="621" customWidth="1"/>
    <col min="13317" max="13319" width="10.5546875" style="621" customWidth="1"/>
    <col min="13320" max="13568" width="8.88671875" style="621"/>
    <col min="13569" max="13572" width="11.5546875" style="621" customWidth="1"/>
    <col min="13573" max="13575" width="10.5546875" style="621" customWidth="1"/>
    <col min="13576" max="13824" width="8.88671875" style="621"/>
    <col min="13825" max="13828" width="11.5546875" style="621" customWidth="1"/>
    <col min="13829" max="13831" width="10.5546875" style="621" customWidth="1"/>
    <col min="13832" max="14080" width="8.88671875" style="621"/>
    <col min="14081" max="14084" width="11.5546875" style="621" customWidth="1"/>
    <col min="14085" max="14087" width="10.5546875" style="621" customWidth="1"/>
    <col min="14088" max="14336" width="8.88671875" style="621"/>
    <col min="14337" max="14340" width="11.5546875" style="621" customWidth="1"/>
    <col min="14341" max="14343" width="10.5546875" style="621" customWidth="1"/>
    <col min="14344" max="14592" width="8.88671875" style="621"/>
    <col min="14593" max="14596" width="11.5546875" style="621" customWidth="1"/>
    <col min="14597" max="14599" width="10.5546875" style="621" customWidth="1"/>
    <col min="14600" max="14848" width="8.88671875" style="621"/>
    <col min="14849" max="14852" width="11.5546875" style="621" customWidth="1"/>
    <col min="14853" max="14855" width="10.5546875" style="621" customWidth="1"/>
    <col min="14856" max="15104" width="8.88671875" style="621"/>
    <col min="15105" max="15108" width="11.5546875" style="621" customWidth="1"/>
    <col min="15109" max="15111" width="10.5546875" style="621" customWidth="1"/>
    <col min="15112" max="15360" width="8.88671875" style="621"/>
    <col min="15361" max="15364" width="11.5546875" style="621" customWidth="1"/>
    <col min="15365" max="15367" width="10.5546875" style="621" customWidth="1"/>
    <col min="15368" max="15616" width="8.88671875" style="621"/>
    <col min="15617" max="15620" width="11.5546875" style="621" customWidth="1"/>
    <col min="15621" max="15623" width="10.5546875" style="621" customWidth="1"/>
    <col min="15624" max="15872" width="8.88671875" style="621"/>
    <col min="15873" max="15876" width="11.5546875" style="621" customWidth="1"/>
    <col min="15877" max="15879" width="10.5546875" style="621" customWidth="1"/>
    <col min="15880" max="16128" width="8.88671875" style="621"/>
    <col min="16129" max="16132" width="11.5546875" style="621" customWidth="1"/>
    <col min="16133" max="16135" width="10.5546875" style="621" customWidth="1"/>
    <col min="16136" max="16384" width="8.88671875" style="621"/>
  </cols>
  <sheetData>
    <row r="1" spans="1:7" ht="18.75" x14ac:dyDescent="0.3">
      <c r="A1" s="770" t="s">
        <v>965</v>
      </c>
      <c r="B1" s="770"/>
      <c r="C1" s="770"/>
      <c r="D1" s="770"/>
      <c r="E1" s="770"/>
      <c r="F1" s="770"/>
      <c r="G1" s="770"/>
    </row>
    <row r="2" spans="1:7" x14ac:dyDescent="0.25">
      <c r="A2" s="622"/>
      <c r="B2" s="622"/>
      <c r="C2" s="622"/>
      <c r="D2" s="622"/>
      <c r="E2" s="622"/>
      <c r="F2" s="622"/>
      <c r="G2" s="622"/>
    </row>
    <row r="3" spans="1:7" ht="32.25" customHeight="1" x14ac:dyDescent="0.25">
      <c r="A3" s="771" t="s">
        <v>966</v>
      </c>
      <c r="B3" s="771"/>
      <c r="C3" s="771"/>
      <c r="D3" s="771"/>
      <c r="E3" s="771"/>
      <c r="F3" s="771"/>
      <c r="G3" s="771"/>
    </row>
    <row r="4" spans="1:7" ht="8.25" customHeight="1" x14ac:dyDescent="0.25">
      <c r="A4" s="623"/>
      <c r="B4" s="623"/>
      <c r="C4" s="623"/>
      <c r="D4" s="623"/>
      <c r="E4" s="623"/>
      <c r="F4" s="623"/>
      <c r="G4" s="623"/>
    </row>
    <row r="5" spans="1:7" x14ac:dyDescent="0.25">
      <c r="A5" s="772" t="s">
        <v>967</v>
      </c>
      <c r="B5" s="772"/>
      <c r="C5" s="772"/>
      <c r="D5" s="772"/>
      <c r="E5" s="772"/>
      <c r="F5" s="772"/>
      <c r="G5" s="772"/>
    </row>
    <row r="6" spans="1:7" ht="8.25" customHeight="1" x14ac:dyDescent="0.25">
      <c r="A6" s="624"/>
      <c r="B6" s="624"/>
      <c r="C6" s="624"/>
      <c r="D6" s="624"/>
      <c r="E6" s="624"/>
      <c r="F6" s="624"/>
      <c r="G6" s="624"/>
    </row>
    <row r="7" spans="1:7" x14ac:dyDescent="0.25">
      <c r="A7" s="772" t="s">
        <v>968</v>
      </c>
      <c r="B7" s="772"/>
      <c r="C7" s="772"/>
      <c r="D7" s="772"/>
      <c r="E7" s="772"/>
      <c r="F7" s="772"/>
      <c r="G7" s="772"/>
    </row>
    <row r="8" spans="1:7" x14ac:dyDescent="0.25">
      <c r="A8" s="624"/>
      <c r="B8" s="624"/>
      <c r="C8" s="624"/>
      <c r="D8" s="624"/>
      <c r="E8" s="624"/>
      <c r="F8" s="624"/>
      <c r="G8" s="624"/>
    </row>
    <row r="9" spans="1:7" ht="22.5" customHeight="1" x14ac:dyDescent="0.25">
      <c r="A9" s="773" t="s">
        <v>969</v>
      </c>
      <c r="B9" s="774"/>
      <c r="C9" s="774"/>
      <c r="D9" s="775"/>
      <c r="E9" s="625" t="s">
        <v>970</v>
      </c>
      <c r="F9" s="625" t="s">
        <v>971</v>
      </c>
      <c r="G9" s="625" t="s">
        <v>972</v>
      </c>
    </row>
    <row r="10" spans="1:7" ht="22.5" customHeight="1" x14ac:dyDescent="0.25">
      <c r="A10" s="767"/>
      <c r="B10" s="768"/>
      <c r="C10" s="768"/>
      <c r="D10" s="769"/>
      <c r="E10" s="626"/>
      <c r="F10" s="626"/>
      <c r="G10" s="626"/>
    </row>
    <row r="11" spans="1:7" ht="22.5" customHeight="1" x14ac:dyDescent="0.25">
      <c r="A11" s="767"/>
      <c r="B11" s="768"/>
      <c r="C11" s="768"/>
      <c r="D11" s="769"/>
      <c r="E11" s="626"/>
      <c r="F11" s="626"/>
      <c r="G11" s="626"/>
    </row>
    <row r="12" spans="1:7" ht="22.5" customHeight="1" x14ac:dyDescent="0.25">
      <c r="A12" s="763"/>
      <c r="B12" s="763"/>
      <c r="C12" s="763"/>
      <c r="D12" s="763"/>
      <c r="E12" s="626"/>
      <c r="F12" s="626"/>
      <c r="G12" s="626"/>
    </row>
    <row r="13" spans="1:7" ht="22.5" customHeight="1" x14ac:dyDescent="0.25">
      <c r="A13" s="763"/>
      <c r="B13" s="763"/>
      <c r="C13" s="763"/>
      <c r="D13" s="763"/>
      <c r="E13" s="626"/>
      <c r="F13" s="626"/>
      <c r="G13" s="626"/>
    </row>
    <row r="14" spans="1:7" ht="22.5" customHeight="1" x14ac:dyDescent="0.25">
      <c r="A14" s="763"/>
      <c r="B14" s="763"/>
      <c r="C14" s="763"/>
      <c r="D14" s="763"/>
      <c r="E14" s="626"/>
      <c r="F14" s="626"/>
      <c r="G14" s="626"/>
    </row>
    <row r="15" spans="1:7" ht="22.5" customHeight="1" x14ac:dyDescent="0.25">
      <c r="A15" s="763"/>
      <c r="B15" s="763"/>
      <c r="C15" s="763"/>
      <c r="D15" s="763"/>
      <c r="E15" s="626"/>
      <c r="F15" s="626"/>
      <c r="G15" s="626"/>
    </row>
    <row r="16" spans="1:7" ht="22.5" customHeight="1" x14ac:dyDescent="0.25">
      <c r="A16" s="763"/>
      <c r="B16" s="763"/>
      <c r="C16" s="763"/>
      <c r="D16" s="763"/>
      <c r="E16" s="626"/>
      <c r="F16" s="626"/>
      <c r="G16" s="626"/>
    </row>
    <row r="17" spans="1:7" ht="22.5" customHeight="1" x14ac:dyDescent="0.25">
      <c r="A17" s="763"/>
      <c r="B17" s="763"/>
      <c r="C17" s="763"/>
      <c r="D17" s="763"/>
      <c r="E17" s="626"/>
      <c r="F17" s="626"/>
      <c r="G17" s="626"/>
    </row>
    <row r="18" spans="1:7" ht="22.5" customHeight="1" thickBot="1" x14ac:dyDescent="0.3">
      <c r="A18" s="764"/>
      <c r="B18" s="764"/>
      <c r="C18" s="764"/>
      <c r="D18" s="764"/>
      <c r="E18" s="627"/>
      <c r="F18" s="627"/>
      <c r="G18" s="627"/>
    </row>
    <row r="19" spans="1:7" ht="22.5" customHeight="1" thickTop="1" x14ac:dyDescent="0.25">
      <c r="A19" s="765" t="s">
        <v>55</v>
      </c>
      <c r="B19" s="765"/>
      <c r="C19" s="765"/>
      <c r="D19" s="765"/>
      <c r="E19" s="628"/>
      <c r="F19" s="628"/>
      <c r="G19" s="628"/>
    </row>
    <row r="21" spans="1:7" x14ac:dyDescent="0.25">
      <c r="A21" s="629" t="s">
        <v>973</v>
      </c>
      <c r="B21" s="630"/>
    </row>
    <row r="22" spans="1:7" x14ac:dyDescent="0.25">
      <c r="A22" s="766"/>
      <c r="B22" s="766"/>
      <c r="C22" s="766"/>
    </row>
  </sheetData>
  <sheetProtection sheet="1" objects="1" scenarios="1"/>
  <mergeCells count="16">
    <mergeCell ref="A10:D10"/>
    <mergeCell ref="A1:G1"/>
    <mergeCell ref="A3:G3"/>
    <mergeCell ref="A5:G5"/>
    <mergeCell ref="A7:G7"/>
    <mergeCell ref="A9:D9"/>
    <mergeCell ref="A17:D17"/>
    <mergeCell ref="A18:D18"/>
    <mergeCell ref="A19:D19"/>
    <mergeCell ref="A22:C22"/>
    <mergeCell ref="A11:D11"/>
    <mergeCell ref="A12:D12"/>
    <mergeCell ref="A13:D13"/>
    <mergeCell ref="A14:D14"/>
    <mergeCell ref="A15:D15"/>
    <mergeCell ref="A16:D1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4" workbookViewId="0">
      <selection activeCell="I9" sqref="I9"/>
    </sheetView>
  </sheetViews>
  <sheetFormatPr defaultRowHeight="15.75" x14ac:dyDescent="0.25"/>
  <cols>
    <col min="1" max="1" width="8.88671875" style="1"/>
    <col min="4" max="4" width="18" customWidth="1"/>
    <col min="7" max="7" width="12.77734375" customWidth="1"/>
  </cols>
  <sheetData>
    <row r="1" spans="1:7" x14ac:dyDescent="0.25">
      <c r="A1" s="762" t="s">
        <v>696</v>
      </c>
      <c r="B1" s="762"/>
      <c r="C1" s="762"/>
      <c r="D1" s="762"/>
      <c r="E1" s="762"/>
      <c r="F1" s="762"/>
      <c r="G1" s="762"/>
    </row>
    <row r="3" spans="1:7" ht="55.5" customHeight="1" x14ac:dyDescent="0.25">
      <c r="A3" s="777" t="s">
        <v>697</v>
      </c>
      <c r="B3" s="777"/>
      <c r="C3" s="777"/>
      <c r="D3" s="777"/>
      <c r="E3" s="777"/>
      <c r="F3" s="777"/>
      <c r="G3" s="777"/>
    </row>
    <row r="4" spans="1:7" ht="55.5" customHeight="1" x14ac:dyDescent="0.25">
      <c r="A4" s="776" t="s">
        <v>698</v>
      </c>
      <c r="B4" s="776"/>
      <c r="C4" s="776"/>
      <c r="D4" s="776"/>
      <c r="E4" s="776"/>
      <c r="F4" s="776"/>
      <c r="G4" s="776"/>
    </row>
    <row r="5" spans="1:7" ht="55.5" customHeight="1" x14ac:dyDescent="0.25">
      <c r="A5" s="776" t="s">
        <v>699</v>
      </c>
      <c r="B5" s="776"/>
      <c r="C5" s="776"/>
      <c r="D5" s="776"/>
      <c r="E5" s="776"/>
      <c r="F5" s="776"/>
      <c r="G5" s="776"/>
    </row>
    <row r="6" spans="1:7" ht="55.5" customHeight="1" x14ac:dyDescent="0.25">
      <c r="A6" s="776" t="s">
        <v>700</v>
      </c>
      <c r="B6" s="776"/>
      <c r="C6" s="776"/>
      <c r="D6" s="776"/>
      <c r="E6" s="776"/>
      <c r="F6" s="776"/>
      <c r="G6" s="776"/>
    </row>
    <row r="7" spans="1:7" ht="55.5" customHeight="1" x14ac:dyDescent="0.25">
      <c r="A7" s="776" t="s">
        <v>701</v>
      </c>
      <c r="B7" s="776"/>
      <c r="C7" s="776"/>
      <c r="D7" s="776"/>
      <c r="E7" s="776"/>
      <c r="F7" s="776"/>
      <c r="G7" s="776"/>
    </row>
    <row r="8" spans="1:7" ht="55.5" customHeight="1" x14ac:dyDescent="0.25">
      <c r="A8" s="777" t="s">
        <v>702</v>
      </c>
      <c r="B8" s="777"/>
      <c r="C8" s="777"/>
      <c r="D8" s="777"/>
      <c r="E8" s="777"/>
      <c r="F8" s="777"/>
      <c r="G8" s="777"/>
    </row>
    <row r="9" spans="1:7" ht="55.5" customHeight="1" x14ac:dyDescent="0.25">
      <c r="A9" s="776" t="s">
        <v>703</v>
      </c>
      <c r="B9" s="776"/>
      <c r="C9" s="776"/>
      <c r="D9" s="776"/>
      <c r="E9" s="776"/>
      <c r="F9" s="776"/>
      <c r="G9" s="776"/>
    </row>
    <row r="10" spans="1:7" ht="55.5" customHeight="1" x14ac:dyDescent="0.25">
      <c r="A10" s="776" t="s">
        <v>704</v>
      </c>
      <c r="B10" s="776"/>
      <c r="C10" s="776"/>
      <c r="D10" s="776"/>
      <c r="E10" s="776"/>
      <c r="F10" s="776"/>
      <c r="G10" s="776"/>
    </row>
    <row r="11" spans="1:7" ht="55.5" customHeight="1" x14ac:dyDescent="0.25">
      <c r="A11" s="776" t="s">
        <v>705</v>
      </c>
      <c r="B11" s="776"/>
      <c r="C11" s="776"/>
      <c r="D11" s="776"/>
      <c r="E11" s="776"/>
      <c r="F11" s="776"/>
      <c r="G11" s="776"/>
    </row>
    <row r="12" spans="1:7" x14ac:dyDescent="0.25">
      <c r="A12" s="761" t="s">
        <v>706</v>
      </c>
      <c r="B12" s="761"/>
      <c r="C12" s="761"/>
      <c r="D12" s="761"/>
      <c r="E12" s="761"/>
      <c r="F12" s="761"/>
      <c r="G12" s="761"/>
    </row>
    <row r="13" spans="1:7" x14ac:dyDescent="0.25">
      <c r="A13" s="761" t="s">
        <v>707</v>
      </c>
      <c r="B13" s="761"/>
      <c r="C13" s="761"/>
      <c r="D13" s="761"/>
      <c r="E13" s="761"/>
      <c r="F13" s="761"/>
      <c r="G13" s="761"/>
    </row>
    <row r="14" spans="1:7" x14ac:dyDescent="0.25">
      <c r="A14" s="761" t="s">
        <v>708</v>
      </c>
      <c r="B14" s="761"/>
      <c r="C14" s="761"/>
      <c r="D14" s="761"/>
      <c r="E14" s="761"/>
      <c r="F14" s="761"/>
      <c r="G14" s="761"/>
    </row>
    <row r="15" spans="1:7" x14ac:dyDescent="0.25">
      <c r="A15" s="761" t="s">
        <v>709</v>
      </c>
      <c r="B15" s="761"/>
      <c r="C15" s="761"/>
      <c r="D15" s="761"/>
      <c r="E15" s="761"/>
      <c r="F15" s="761"/>
      <c r="G15" s="761"/>
    </row>
    <row r="16" spans="1:7" x14ac:dyDescent="0.25">
      <c r="A16" s="761" t="s">
        <v>710</v>
      </c>
      <c r="B16" s="761"/>
      <c r="C16" s="761"/>
      <c r="D16" s="761"/>
      <c r="E16" s="761"/>
      <c r="F16" s="761"/>
      <c r="G16" s="761"/>
    </row>
  </sheetData>
  <sheetProtection sheet="1" objects="1" scenarios="1"/>
  <mergeCells count="15">
    <mergeCell ref="A14:G14"/>
    <mergeCell ref="A15:G15"/>
    <mergeCell ref="A16:G16"/>
    <mergeCell ref="A8:G8"/>
    <mergeCell ref="A9:G9"/>
    <mergeCell ref="A10:G10"/>
    <mergeCell ref="A11:G11"/>
    <mergeCell ref="A12:G12"/>
    <mergeCell ref="A13:G13"/>
    <mergeCell ref="A7:G7"/>
    <mergeCell ref="A1:G1"/>
    <mergeCell ref="A3:G3"/>
    <mergeCell ref="A4:G4"/>
    <mergeCell ref="A5:G5"/>
    <mergeCell ref="A6:G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4"/>
  <sheetViews>
    <sheetView workbookViewId="0">
      <selection sqref="A1:A2"/>
    </sheetView>
  </sheetViews>
  <sheetFormatPr defaultRowHeight="15.75" x14ac:dyDescent="0.25"/>
  <cols>
    <col min="1" max="1" width="67" style="1" customWidth="1"/>
  </cols>
  <sheetData>
    <row r="1" spans="1:12" ht="15.75" customHeight="1" x14ac:dyDescent="0.2">
      <c r="A1" s="778" t="s">
        <v>650</v>
      </c>
    </row>
    <row r="2" spans="1:12" ht="15.75" customHeight="1" x14ac:dyDescent="0.2">
      <c r="A2" s="779"/>
    </row>
    <row r="3" spans="1:12" x14ac:dyDescent="0.25">
      <c r="A3" s="555" t="s">
        <v>287</v>
      </c>
      <c r="B3" s="597"/>
      <c r="C3" s="597"/>
      <c r="D3" s="597"/>
      <c r="E3" s="597"/>
      <c r="F3" s="597"/>
      <c r="G3" s="597"/>
      <c r="H3" s="597"/>
      <c r="I3" s="597"/>
      <c r="J3" s="597"/>
      <c r="K3" s="597"/>
      <c r="L3" s="597"/>
    </row>
    <row r="5" spans="1:12" x14ac:dyDescent="0.25">
      <c r="A5" s="1" t="str">
        <f>CONCATENATE("Welcome. You have been directed to this tab because your ",[1]inputPrYr!C6-2," total expenditures exceed your ")</f>
        <v xml:space="preserve">Welcome. You have been directed to this tab because your 2022 total expenditures exceed your </v>
      </c>
    </row>
    <row r="6" spans="1:12" x14ac:dyDescent="0.25">
      <c r="A6" s="1" t="str">
        <f>CONCATENATE([1]inputPrYr!C6-2," budget authority.")</f>
        <v>2022 budget authority.</v>
      </c>
    </row>
    <row r="8" spans="1:12" x14ac:dyDescent="0.25">
      <c r="A8" s="1" t="s">
        <v>737</v>
      </c>
    </row>
    <row r="9" spans="1:12" x14ac:dyDescent="0.25">
      <c r="A9" s="1" t="s">
        <v>738</v>
      </c>
    </row>
    <row r="11" spans="1:12" x14ac:dyDescent="0.25">
      <c r="A11" s="557" t="s">
        <v>288</v>
      </c>
    </row>
    <row r="13" spans="1:12" x14ac:dyDescent="0.25">
      <c r="A13" s="1" t="s">
        <v>739</v>
      </c>
    </row>
    <row r="14" spans="1:12" x14ac:dyDescent="0.25">
      <c r="A14" s="1" t="str">
        <f>CONCATENATE("or the ",[1]inputPrYr!C6," adopted budget has not been submitted to the county clerk) then the budget violation")</f>
        <v>or the 2024 adopted budget has not been submitted to the county clerk) then the budget violation</v>
      </c>
    </row>
    <row r="15" spans="1:12" x14ac:dyDescent="0.25">
      <c r="A15" s="1" t="s">
        <v>740</v>
      </c>
    </row>
    <row r="17" spans="1:1" x14ac:dyDescent="0.25">
      <c r="A17" s="557" t="s">
        <v>289</v>
      </c>
    </row>
    <row r="18" spans="1:1" x14ac:dyDescent="0.25">
      <c r="A18" s="557"/>
    </row>
    <row r="19" spans="1:1" x14ac:dyDescent="0.25">
      <c r="A19" s="1" t="s">
        <v>741</v>
      </c>
    </row>
    <row r="20" spans="1:1" x14ac:dyDescent="0.25">
      <c r="A20" s="1" t="str">
        <f>CONCATENATE("entered for this particular fund.  If your ",[1]inputPrYr!C6-2," budget was amended, did you use the amended,")</f>
        <v>entered for this particular fund.  If your 2022 budget was amended, did you use the amended,</v>
      </c>
    </row>
    <row r="21" spans="1:1" x14ac:dyDescent="0.25">
      <c r="A21" s="1" t="s">
        <v>742</v>
      </c>
    </row>
    <row r="23" spans="1:1" x14ac:dyDescent="0.25">
      <c r="A23" s="1" t="str">
        <f>CONCATENATE("Next, look to see if any of your ",[1]inputPrYr!C6-2," expenditures can be reduced or eliminated. For example,")</f>
        <v>Next, look to see if any of your 2022 expenditures can be reduced or eliminated. For example,</v>
      </c>
    </row>
    <row r="24" spans="1:1" x14ac:dyDescent="0.25">
      <c r="A24" s="1" t="s">
        <v>743</v>
      </c>
    </row>
    <row r="25" spans="1:1" x14ac:dyDescent="0.25">
      <c r="A25" s="1" t="s">
        <v>744</v>
      </c>
    </row>
    <row r="27" spans="1:1" x14ac:dyDescent="0.25">
      <c r="A27" s="1" t="str">
        <f>CONCATENATE("Additionally, do your ",[1]inputPrYr!C6-2," receipts contain a reimbursement (e.g. FEMA)? If so, instead of")</f>
        <v>Additionally, do your 2022 receipts contain a reimbursement (e.g. FEMA)? If so, instead of</v>
      </c>
    </row>
    <row r="28" spans="1:1" x14ac:dyDescent="0.25">
      <c r="A28" s="1" t="s">
        <v>745</v>
      </c>
    </row>
    <row r="30" spans="1:1" x14ac:dyDescent="0.25">
      <c r="A30" s="1" t="s">
        <v>746</v>
      </c>
    </row>
    <row r="31" spans="1:1" x14ac:dyDescent="0.25">
      <c r="A31" s="1" t="s">
        <v>747</v>
      </c>
    </row>
    <row r="32" spans="1:1" x14ac:dyDescent="0.25">
      <c r="A32" s="1" t="s">
        <v>748</v>
      </c>
    </row>
    <row r="33" spans="1:1" x14ac:dyDescent="0.25">
      <c r="A33" s="1" t="s">
        <v>749</v>
      </c>
    </row>
    <row r="34" spans="1:1" x14ac:dyDescent="0.25">
      <c r="A34" s="1" t="s">
        <v>290</v>
      </c>
    </row>
    <row r="36" spans="1:1" x14ac:dyDescent="0.25">
      <c r="A36" s="1" t="s">
        <v>750</v>
      </c>
    </row>
    <row r="37" spans="1:1" x14ac:dyDescent="0.25">
      <c r="A37" s="1" t="s">
        <v>751</v>
      </c>
    </row>
    <row r="39" spans="1:1" x14ac:dyDescent="0.25">
      <c r="A39" s="1" t="s">
        <v>752</v>
      </c>
    </row>
    <row r="40" spans="1:1" x14ac:dyDescent="0.25">
      <c r="A40" s="1" t="s">
        <v>753</v>
      </c>
    </row>
    <row r="42" spans="1:1" x14ac:dyDescent="0.25">
      <c r="A42" s="557" t="s">
        <v>291</v>
      </c>
    </row>
    <row r="44" spans="1:1" x14ac:dyDescent="0.25">
      <c r="A44" s="1" t="s">
        <v>754</v>
      </c>
    </row>
    <row r="45" spans="1:1" x14ac:dyDescent="0.25">
      <c r="A45" s="1" t="s">
        <v>755</v>
      </c>
    </row>
    <row r="46" spans="1:1" x14ac:dyDescent="0.25">
      <c r="A46" s="1" t="s">
        <v>756</v>
      </c>
    </row>
    <row r="47" spans="1:1" x14ac:dyDescent="0.25">
      <c r="A47" s="1" t="s">
        <v>757</v>
      </c>
    </row>
    <row r="48" spans="1:1" x14ac:dyDescent="0.25">
      <c r="A48" s="1" t="s">
        <v>758</v>
      </c>
    </row>
    <row r="49" spans="1:1" x14ac:dyDescent="0.25">
      <c r="A49" s="1" t="s">
        <v>759</v>
      </c>
    </row>
    <row r="50" spans="1:1" x14ac:dyDescent="0.25">
      <c r="A50" s="1" t="s">
        <v>760</v>
      </c>
    </row>
    <row r="51" spans="1:1" x14ac:dyDescent="0.25">
      <c r="A51" s="1" t="s">
        <v>761</v>
      </c>
    </row>
    <row r="53" spans="1:1" x14ac:dyDescent="0.25">
      <c r="A53" s="1" t="s">
        <v>762</v>
      </c>
    </row>
    <row r="54" spans="1:1" x14ac:dyDescent="0.25">
      <c r="A54" s="1" t="s">
        <v>763</v>
      </c>
    </row>
    <row r="56" spans="1:1" x14ac:dyDescent="0.25">
      <c r="A56" s="557" t="str">
        <f>CONCATENATE("What if the ",[1]inputPrYr!C6-2," financial records have been closed?")</f>
        <v>What if the 2022 financial records have been closed?</v>
      </c>
    </row>
    <row r="57" spans="1:1" x14ac:dyDescent="0.25">
      <c r="A57" s="1" t="s">
        <v>40</v>
      </c>
    </row>
    <row r="58" spans="1:1" x14ac:dyDescent="0.25">
      <c r="A58" s="1" t="str">
        <f>CONCATENATE("If the municipality financial records have been closed (i.e. an audit for ",[1]inputPrYr!C6-2," has been completed, or")</f>
        <v>If the municipality financial records have been closed (i.e. an audit for 2022 has been completed, or</v>
      </c>
    </row>
    <row r="59" spans="1:1" x14ac:dyDescent="0.25">
      <c r="A59" s="1" t="str">
        <f>CONCATENATE("the ",[1]inputPrYr!C6," the violation cannot be fixed and must be shown as it occurred. ")</f>
        <v xml:space="preserve">the 2024 the violation cannot be fixed and must be shown as it occurred. </v>
      </c>
    </row>
    <row r="61" spans="1:1" x14ac:dyDescent="0.25">
      <c r="A61" s="1" t="s">
        <v>764</v>
      </c>
    </row>
    <row r="62" spans="1:1" x14ac:dyDescent="0.25">
      <c r="A62" s="1" t="s">
        <v>765</v>
      </c>
    </row>
    <row r="64" spans="1:1" x14ac:dyDescent="0.25">
      <c r="A64" s="1" t="s">
        <v>292</v>
      </c>
    </row>
  </sheetData>
  <sheetProtection sheet="1" objects="1" scenarios="1"/>
  <mergeCells count="1">
    <mergeCell ref="A1:A2"/>
  </mergeCells>
  <pageMargins left="0.7" right="0.7" top="0.75" bottom="0.75" header="0.3" footer="0.3"/>
  <pageSetup orientation="portrait" r:id="rId1"/>
  <headerFooter>
    <oddFooter>&amp;Lrevised 10/02/09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92"/>
  <sheetViews>
    <sheetView workbookViewId="0">
      <selection sqref="A1:A2"/>
    </sheetView>
  </sheetViews>
  <sheetFormatPr defaultRowHeight="15.75" x14ac:dyDescent="0.25"/>
  <cols>
    <col min="1" max="1" width="66.77734375" style="1" customWidth="1"/>
  </cols>
  <sheetData>
    <row r="1" spans="1:10" ht="15.75" customHeight="1" x14ac:dyDescent="0.2">
      <c r="A1" s="780" t="s">
        <v>651</v>
      </c>
    </row>
    <row r="2" spans="1:10" ht="15.75" customHeight="1" x14ac:dyDescent="0.2">
      <c r="A2" s="780"/>
    </row>
    <row r="3" spans="1:10" x14ac:dyDescent="0.25">
      <c r="A3" s="555" t="s">
        <v>293</v>
      </c>
      <c r="B3" s="597"/>
      <c r="C3" s="597"/>
      <c r="D3" s="597"/>
      <c r="E3" s="597"/>
      <c r="F3" s="597"/>
      <c r="G3" s="597"/>
      <c r="H3" s="248"/>
      <c r="I3" s="248"/>
      <c r="J3" s="248"/>
    </row>
    <row r="5" spans="1:10" x14ac:dyDescent="0.25">
      <c r="A5" s="1" t="str">
        <f>CONCATENATE("Welcome. You have been directed to this tab because your ",[1]inputPrYr!C6-2," expenditures show that you ")</f>
        <v xml:space="preserve">Welcome. You have been directed to this tab because your 2022 expenditures show that you </v>
      </c>
    </row>
    <row r="6" spans="1:10" x14ac:dyDescent="0.25">
      <c r="A6" s="1" t="s">
        <v>766</v>
      </c>
    </row>
    <row r="8" spans="1:10" x14ac:dyDescent="0.25">
      <c r="A8" s="1" t="s">
        <v>767</v>
      </c>
    </row>
    <row r="9" spans="1:10" x14ac:dyDescent="0.25">
      <c r="A9" s="1" t="s">
        <v>296</v>
      </c>
    </row>
    <row r="11" spans="1:10" x14ac:dyDescent="0.25">
      <c r="A11" s="557" t="s">
        <v>294</v>
      </c>
    </row>
    <row r="12" spans="1:10" x14ac:dyDescent="0.25">
      <c r="A12" s="557"/>
    </row>
    <row r="13" spans="1:10" x14ac:dyDescent="0.25">
      <c r="A13" s="1" t="s">
        <v>768</v>
      </c>
    </row>
    <row r="14" spans="1:10" x14ac:dyDescent="0.25">
      <c r="A14" s="1" t="s">
        <v>769</v>
      </c>
    </row>
    <row r="16" spans="1:10" x14ac:dyDescent="0.25">
      <c r="A16" s="557" t="s">
        <v>295</v>
      </c>
    </row>
    <row r="17" spans="1:8" x14ac:dyDescent="0.25">
      <c r="A17" s="557"/>
    </row>
    <row r="18" spans="1:8" x14ac:dyDescent="0.25">
      <c r="A18" s="1" t="s">
        <v>770</v>
      </c>
    </row>
    <row r="19" spans="1:8" x14ac:dyDescent="0.25">
      <c r="A19" s="1" t="s">
        <v>771</v>
      </c>
    </row>
    <row r="21" spans="1:8" x14ac:dyDescent="0.25">
      <c r="A21" s="557" t="s">
        <v>772</v>
      </c>
    </row>
    <row r="22" spans="1:8" x14ac:dyDescent="0.25">
      <c r="A22" s="557"/>
    </row>
    <row r="23" spans="1:8" x14ac:dyDescent="0.25">
      <c r="A23" s="1" t="s">
        <v>773</v>
      </c>
    </row>
    <row r="24" spans="1:8" x14ac:dyDescent="0.25">
      <c r="A24" s="1" t="s">
        <v>774</v>
      </c>
    </row>
    <row r="26" spans="1:8" x14ac:dyDescent="0.25">
      <c r="A26" s="557" t="s">
        <v>297</v>
      </c>
    </row>
    <row r="27" spans="1:8" x14ac:dyDescent="0.25">
      <c r="A27" s="557"/>
    </row>
    <row r="28" spans="1:8" x14ac:dyDescent="0.25">
      <c r="A28" s="1" t="str">
        <f>CONCATENATE("If your financial records are not closed for ",[1]inputPrYr!C6-2," (i.e.an audit has not been completed, or the")</f>
        <v>If your financial records are not closed for 2022 (i.e.an audit has not been completed, or the</v>
      </c>
      <c r="B28" s="598"/>
      <c r="C28" s="598"/>
      <c r="D28" s="598"/>
      <c r="E28" s="598"/>
      <c r="F28" s="598"/>
      <c r="G28" s="598"/>
      <c r="H28" s="598"/>
    </row>
    <row r="29" spans="1:8" x14ac:dyDescent="0.25">
      <c r="A29" s="1" t="str">
        <f>CONCATENATE([1]inputPrYr!C6," adopted budget has not been submitted to the county clerk) then either your fund receipts will")</f>
        <v>2024 adopted budget has not been submitted to the county clerk) then either your fund receipts will</v>
      </c>
      <c r="B29" s="598"/>
      <c r="C29" s="598"/>
      <c r="D29" s="598"/>
      <c r="E29" s="598"/>
      <c r="F29" s="598"/>
      <c r="G29" s="598"/>
      <c r="H29" s="598"/>
    </row>
    <row r="30" spans="1:8" x14ac:dyDescent="0.25">
      <c r="A30" s="1" t="s">
        <v>775</v>
      </c>
      <c r="B30" s="598"/>
      <c r="C30" s="598"/>
      <c r="D30" s="598"/>
      <c r="E30" s="598"/>
      <c r="F30" s="598"/>
      <c r="G30" s="598"/>
      <c r="H30" s="598"/>
    </row>
    <row r="31" spans="1:8" x14ac:dyDescent="0.25">
      <c r="A31" s="1" t="s">
        <v>776</v>
      </c>
      <c r="B31" s="598"/>
      <c r="C31" s="598"/>
      <c r="D31" s="598"/>
      <c r="E31" s="598"/>
      <c r="F31" s="598"/>
      <c r="G31" s="598"/>
      <c r="H31" s="598"/>
    </row>
    <row r="32" spans="1:8" x14ac:dyDescent="0.25">
      <c r="B32" s="598"/>
      <c r="C32" s="598"/>
      <c r="D32" s="598"/>
      <c r="E32" s="598"/>
      <c r="F32" s="598"/>
      <c r="G32" s="598"/>
      <c r="H32" s="598"/>
    </row>
    <row r="33" spans="1:8" x14ac:dyDescent="0.25">
      <c r="B33" s="598"/>
      <c r="C33" s="598"/>
      <c r="D33" s="598"/>
      <c r="E33" s="598"/>
      <c r="F33" s="598"/>
      <c r="G33" s="598"/>
      <c r="H33" s="598"/>
    </row>
    <row r="34" spans="1:8" x14ac:dyDescent="0.25">
      <c r="A34" s="1" t="s">
        <v>777</v>
      </c>
      <c r="B34" s="598"/>
      <c r="C34" s="598"/>
      <c r="D34" s="598"/>
      <c r="E34" s="598"/>
      <c r="F34" s="598"/>
      <c r="G34" s="598"/>
      <c r="H34" s="598"/>
    </row>
    <row r="35" spans="1:8" x14ac:dyDescent="0.25">
      <c r="A35" s="1" t="s">
        <v>778</v>
      </c>
      <c r="B35" s="598"/>
      <c r="C35" s="598"/>
      <c r="D35" s="598"/>
      <c r="E35" s="598"/>
      <c r="F35" s="598"/>
      <c r="G35" s="598"/>
      <c r="H35" s="598"/>
    </row>
    <row r="36" spans="1:8" x14ac:dyDescent="0.25">
      <c r="A36" s="1" t="s">
        <v>779</v>
      </c>
      <c r="B36" s="598"/>
      <c r="C36" s="598"/>
      <c r="D36" s="598"/>
      <c r="E36" s="598"/>
      <c r="F36" s="598"/>
      <c r="G36" s="598"/>
      <c r="H36" s="598"/>
    </row>
    <row r="37" spans="1:8" x14ac:dyDescent="0.25">
      <c r="B37" s="598"/>
      <c r="C37" s="598"/>
      <c r="D37" s="598"/>
      <c r="E37" s="598"/>
      <c r="F37" s="598"/>
      <c r="G37" s="598"/>
      <c r="H37" s="598"/>
    </row>
    <row r="38" spans="1:8" x14ac:dyDescent="0.25">
      <c r="A38" s="1" t="s">
        <v>780</v>
      </c>
      <c r="B38" s="598"/>
      <c r="C38" s="598"/>
      <c r="D38" s="598"/>
      <c r="E38" s="598"/>
      <c r="F38" s="598"/>
      <c r="G38" s="598"/>
      <c r="H38" s="598"/>
    </row>
    <row r="39" spans="1:8" x14ac:dyDescent="0.25">
      <c r="A39" s="1" t="s">
        <v>781</v>
      </c>
      <c r="B39" s="598"/>
      <c r="C39" s="598"/>
      <c r="D39" s="598"/>
      <c r="E39" s="598"/>
      <c r="F39" s="598"/>
      <c r="G39" s="598"/>
      <c r="H39" s="598"/>
    </row>
    <row r="40" spans="1:8" x14ac:dyDescent="0.25">
      <c r="A40" s="1" t="s">
        <v>782</v>
      </c>
      <c r="B40" s="598"/>
      <c r="C40" s="598"/>
      <c r="D40" s="598"/>
      <c r="E40" s="598"/>
      <c r="F40" s="598"/>
      <c r="G40" s="598"/>
      <c r="H40" s="598"/>
    </row>
    <row r="41" spans="1:8" x14ac:dyDescent="0.25">
      <c r="B41" s="598"/>
      <c r="C41" s="598"/>
      <c r="D41" s="598"/>
      <c r="E41" s="598"/>
      <c r="F41" s="598"/>
      <c r="G41" s="598"/>
      <c r="H41" s="598"/>
    </row>
    <row r="42" spans="1:8" x14ac:dyDescent="0.25">
      <c r="A42" s="557" t="s">
        <v>783</v>
      </c>
      <c r="B42" s="248"/>
      <c r="C42" s="248"/>
      <c r="D42" s="248"/>
      <c r="E42" s="248"/>
      <c r="F42" s="248"/>
      <c r="G42" s="248"/>
      <c r="H42" s="598"/>
    </row>
    <row r="43" spans="1:8" x14ac:dyDescent="0.25">
      <c r="B43" s="598"/>
      <c r="C43" s="598"/>
      <c r="D43" s="598"/>
      <c r="E43" s="598"/>
      <c r="F43" s="598"/>
      <c r="G43" s="598"/>
      <c r="H43" s="598"/>
    </row>
    <row r="44" spans="1:8" x14ac:dyDescent="0.25">
      <c r="A44" s="1" t="s">
        <v>784</v>
      </c>
      <c r="B44" s="598"/>
      <c r="C44" s="598"/>
      <c r="D44" s="598"/>
      <c r="E44" s="598"/>
      <c r="F44" s="598"/>
      <c r="G44" s="598"/>
      <c r="H44" s="598"/>
    </row>
    <row r="45" spans="1:8" x14ac:dyDescent="0.25">
      <c r="A45" s="1" t="s">
        <v>785</v>
      </c>
      <c r="B45" s="598"/>
      <c r="C45" s="598"/>
      <c r="D45" s="598"/>
      <c r="E45" s="598"/>
      <c r="F45" s="598"/>
      <c r="G45" s="598"/>
      <c r="H45" s="598"/>
    </row>
    <row r="46" spans="1:8" x14ac:dyDescent="0.25">
      <c r="B46" s="598"/>
      <c r="C46" s="598"/>
      <c r="D46" s="598"/>
      <c r="E46" s="598"/>
      <c r="F46" s="598"/>
      <c r="G46" s="598"/>
      <c r="H46" s="598"/>
    </row>
    <row r="47" spans="1:8" x14ac:dyDescent="0.25">
      <c r="A47" s="1" t="s">
        <v>786</v>
      </c>
      <c r="B47" s="598"/>
      <c r="C47" s="598"/>
      <c r="D47" s="598"/>
      <c r="E47" s="598"/>
      <c r="F47" s="598"/>
      <c r="G47" s="598"/>
      <c r="H47" s="598"/>
    </row>
    <row r="48" spans="1:8" x14ac:dyDescent="0.25">
      <c r="A48" s="1" t="s">
        <v>787</v>
      </c>
      <c r="B48" s="598"/>
      <c r="C48" s="598"/>
      <c r="D48" s="598"/>
      <c r="E48" s="598"/>
      <c r="F48" s="598"/>
      <c r="G48" s="598"/>
      <c r="H48" s="598"/>
    </row>
    <row r="49" spans="1:8" x14ac:dyDescent="0.25">
      <c r="A49" s="1" t="s">
        <v>788</v>
      </c>
      <c r="B49" s="598"/>
      <c r="C49" s="598"/>
      <c r="D49" s="598"/>
      <c r="E49" s="598"/>
      <c r="F49" s="598"/>
      <c r="G49" s="598"/>
      <c r="H49" s="598"/>
    </row>
    <row r="50" spans="1:8" x14ac:dyDescent="0.25">
      <c r="A50" s="1" t="s">
        <v>789</v>
      </c>
      <c r="B50" s="598"/>
      <c r="C50" s="598"/>
      <c r="D50" s="598"/>
      <c r="E50" s="598"/>
      <c r="F50" s="598"/>
      <c r="G50" s="598"/>
      <c r="H50" s="598"/>
    </row>
    <row r="51" spans="1:8" x14ac:dyDescent="0.25">
      <c r="B51" s="598"/>
      <c r="C51" s="598"/>
      <c r="D51" s="598"/>
      <c r="E51" s="598"/>
      <c r="F51" s="598"/>
      <c r="G51" s="598"/>
      <c r="H51" s="598"/>
    </row>
    <row r="52" spans="1:8" x14ac:dyDescent="0.25">
      <c r="B52" s="598"/>
      <c r="C52" s="598"/>
      <c r="D52" s="598"/>
      <c r="E52" s="598"/>
      <c r="F52" s="598"/>
      <c r="G52" s="598"/>
      <c r="H52" s="598"/>
    </row>
    <row r="53" spans="1:8" x14ac:dyDescent="0.25">
      <c r="A53" s="1" t="s">
        <v>790</v>
      </c>
      <c r="B53" s="598"/>
      <c r="C53" s="598"/>
      <c r="D53" s="598"/>
      <c r="E53" s="598"/>
      <c r="F53" s="598"/>
      <c r="G53" s="598"/>
      <c r="H53" s="598"/>
    </row>
    <row r="54" spans="1:8" x14ac:dyDescent="0.25">
      <c r="A54" s="1" t="s">
        <v>791</v>
      </c>
      <c r="B54" s="598"/>
      <c r="C54" s="598"/>
      <c r="D54" s="598"/>
      <c r="E54" s="598"/>
      <c r="F54" s="598"/>
      <c r="G54" s="598"/>
      <c r="H54" s="598"/>
    </row>
    <row r="55" spans="1:8" x14ac:dyDescent="0.25">
      <c r="A55" s="1" t="s">
        <v>792</v>
      </c>
      <c r="B55" s="598"/>
      <c r="C55" s="598"/>
      <c r="D55" s="598"/>
      <c r="E55" s="598"/>
      <c r="F55" s="598"/>
      <c r="G55" s="598"/>
      <c r="H55" s="598"/>
    </row>
    <row r="56" spans="1:8" x14ac:dyDescent="0.25">
      <c r="A56" s="1" t="s">
        <v>793</v>
      </c>
      <c r="B56" s="598"/>
      <c r="C56" s="598"/>
      <c r="D56" s="598"/>
      <c r="E56" s="598"/>
      <c r="F56" s="598"/>
      <c r="G56" s="598"/>
      <c r="H56" s="598"/>
    </row>
    <row r="57" spans="1:8" x14ac:dyDescent="0.25">
      <c r="A57" s="1" t="s">
        <v>301</v>
      </c>
      <c r="B57" s="598"/>
      <c r="C57" s="598"/>
      <c r="D57" s="598"/>
      <c r="E57" s="598"/>
      <c r="F57" s="598"/>
      <c r="G57" s="598"/>
      <c r="H57" s="598"/>
    </row>
    <row r="58" spans="1:8" x14ac:dyDescent="0.25">
      <c r="B58" s="598"/>
      <c r="C58" s="598"/>
      <c r="D58" s="598"/>
      <c r="E58" s="598"/>
      <c r="F58" s="598"/>
      <c r="G58" s="598"/>
      <c r="H58" s="598"/>
    </row>
    <row r="59" spans="1:8" x14ac:dyDescent="0.25">
      <c r="A59" s="1" t="s">
        <v>794</v>
      </c>
      <c r="B59" s="598"/>
      <c r="C59" s="598"/>
      <c r="D59" s="598"/>
      <c r="E59" s="598"/>
      <c r="F59" s="598"/>
      <c r="G59" s="598"/>
      <c r="H59" s="598"/>
    </row>
    <row r="60" spans="1:8" x14ac:dyDescent="0.25">
      <c r="A60" s="1" t="s">
        <v>795</v>
      </c>
      <c r="B60" s="598"/>
      <c r="C60" s="598"/>
      <c r="D60" s="598"/>
      <c r="E60" s="598"/>
      <c r="F60" s="598"/>
      <c r="G60" s="598"/>
      <c r="H60" s="598"/>
    </row>
    <row r="61" spans="1:8" x14ac:dyDescent="0.25">
      <c r="B61" s="598"/>
      <c r="C61" s="598"/>
      <c r="D61" s="598"/>
      <c r="E61" s="598"/>
      <c r="F61" s="598"/>
      <c r="G61" s="598"/>
      <c r="H61" s="598"/>
    </row>
    <row r="62" spans="1:8" x14ac:dyDescent="0.25">
      <c r="A62" s="1" t="s">
        <v>292</v>
      </c>
    </row>
    <row r="63" spans="1:8" x14ac:dyDescent="0.25">
      <c r="A63" s="557"/>
    </row>
    <row r="90" spans="1:1" x14ac:dyDescent="0.25">
      <c r="A90" s="557"/>
    </row>
    <row r="91" spans="1:1" x14ac:dyDescent="0.25">
      <c r="A91" s="557"/>
    </row>
    <row r="92" spans="1:1" x14ac:dyDescent="0.25">
      <c r="A92" s="557"/>
    </row>
  </sheetData>
  <sheetProtection sheet="1"/>
  <mergeCells count="1">
    <mergeCell ref="A1:A2"/>
  </mergeCells>
  <pageMargins left="0.7" right="0.7" top="0.75" bottom="0.75" header="0.3" footer="0.3"/>
  <pageSetup orientation="portrait" r:id="rId1"/>
  <headerFooter>
    <oddFooter>&amp;Lrevised 10/02/09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5"/>
  <sheetViews>
    <sheetView workbookViewId="0">
      <selection sqref="A1:A2"/>
    </sheetView>
  </sheetViews>
  <sheetFormatPr defaultRowHeight="15.75" x14ac:dyDescent="0.25"/>
  <cols>
    <col min="1" max="1" width="66.77734375" style="1" customWidth="1"/>
  </cols>
  <sheetData>
    <row r="1" spans="1:12" ht="15.75" customHeight="1" x14ac:dyDescent="0.2">
      <c r="A1" s="780" t="s">
        <v>652</v>
      </c>
    </row>
    <row r="2" spans="1:12" ht="15.75" customHeight="1" x14ac:dyDescent="0.2">
      <c r="A2" s="780"/>
    </row>
    <row r="3" spans="1:12" x14ac:dyDescent="0.25">
      <c r="A3" s="555" t="s">
        <v>298</v>
      </c>
      <c r="B3" s="597"/>
      <c r="C3" s="597"/>
      <c r="D3" s="597"/>
      <c r="E3" s="597"/>
      <c r="F3" s="597"/>
      <c r="G3" s="597"/>
      <c r="H3" s="597"/>
      <c r="I3" s="597"/>
      <c r="J3" s="597"/>
      <c r="K3" s="597"/>
      <c r="L3" s="597"/>
    </row>
    <row r="4" spans="1:12" x14ac:dyDescent="0.25">
      <c r="A4" s="555"/>
      <c r="B4" s="597"/>
      <c r="C4" s="597"/>
      <c r="D4" s="597"/>
      <c r="E4" s="597"/>
      <c r="F4" s="597"/>
      <c r="G4" s="597"/>
      <c r="H4" s="597"/>
      <c r="I4" s="597"/>
      <c r="J4" s="597"/>
      <c r="K4" s="597"/>
      <c r="L4" s="597"/>
    </row>
    <row r="5" spans="1:12" x14ac:dyDescent="0.25">
      <c r="I5" s="597"/>
      <c r="J5" s="597"/>
      <c r="K5" s="597"/>
      <c r="L5" s="597"/>
    </row>
    <row r="6" spans="1:12" x14ac:dyDescent="0.25">
      <c r="A6" s="1" t="str">
        <f>CONCATENATE("Welcome.  You have been directed to this tab because your estimated ",[1]inputPrYr!C6-1," total expenditures")</f>
        <v>Welcome.  You have been directed to this tab because your estimated 2023 total expenditures</v>
      </c>
      <c r="I6" s="597"/>
      <c r="J6" s="597"/>
      <c r="K6" s="597"/>
      <c r="L6" s="597"/>
    </row>
    <row r="7" spans="1:12" x14ac:dyDescent="0.25">
      <c r="A7" s="556" t="str">
        <f>CONCATENATE("exceed your ",[1]inputPrYr!C6-1," budget authority.")</f>
        <v>exceed your 2023 budget authority.</v>
      </c>
      <c r="I7" s="597"/>
      <c r="J7" s="597"/>
      <c r="K7" s="597"/>
      <c r="L7" s="597"/>
    </row>
    <row r="8" spans="1:12" x14ac:dyDescent="0.25">
      <c r="I8" s="597"/>
      <c r="J8" s="597"/>
      <c r="K8" s="597"/>
      <c r="L8" s="597"/>
    </row>
    <row r="9" spans="1:12" x14ac:dyDescent="0.25">
      <c r="A9" s="1" t="s">
        <v>796</v>
      </c>
      <c r="I9" s="597"/>
      <c r="J9" s="597"/>
      <c r="K9" s="597"/>
      <c r="L9" s="597"/>
    </row>
    <row r="10" spans="1:12" x14ac:dyDescent="0.25">
      <c r="A10" s="1" t="s">
        <v>797</v>
      </c>
      <c r="I10" s="597"/>
      <c r="J10" s="597"/>
      <c r="K10" s="597"/>
      <c r="L10" s="597"/>
    </row>
    <row r="11" spans="1:12" x14ac:dyDescent="0.25">
      <c r="A11" s="1" t="s">
        <v>798</v>
      </c>
      <c r="I11" s="597"/>
      <c r="J11" s="597"/>
      <c r="K11" s="597"/>
      <c r="L11" s="597"/>
    </row>
    <row r="12" spans="1:12" x14ac:dyDescent="0.25">
      <c r="A12" s="555"/>
      <c r="B12" s="597"/>
      <c r="C12" s="597"/>
      <c r="D12" s="597"/>
      <c r="E12" s="597"/>
      <c r="F12" s="597"/>
      <c r="G12" s="597"/>
      <c r="H12" s="597"/>
      <c r="I12" s="597"/>
      <c r="J12" s="597"/>
      <c r="K12" s="597"/>
      <c r="L12" s="597"/>
    </row>
    <row r="13" spans="1:12" x14ac:dyDescent="0.25">
      <c r="A13" s="557" t="s">
        <v>799</v>
      </c>
    </row>
    <row r="14" spans="1:12" x14ac:dyDescent="0.25">
      <c r="B14" s="598"/>
      <c r="C14" s="598"/>
      <c r="D14" s="598"/>
      <c r="E14" s="598"/>
      <c r="F14" s="598"/>
      <c r="G14" s="598"/>
    </row>
    <row r="15" spans="1:12" x14ac:dyDescent="0.25">
      <c r="A15" s="1" t="str">
        <f>CONCATENATE("Naturally, our preference would be that you consider your ",[1]inputPrYr!C6-1," numbers to see what steps might be")</f>
        <v>Naturally, our preference would be that you consider your 2023 numbers to see what steps might be</v>
      </c>
      <c r="B15" s="598"/>
      <c r="C15" s="598"/>
      <c r="D15" s="598"/>
      <c r="E15" s="598"/>
      <c r="F15" s="598"/>
      <c r="G15" s="598"/>
    </row>
    <row r="16" spans="1:12" ht="17.25" customHeight="1" x14ac:dyDescent="0.25">
      <c r="A16" s="1" t="s">
        <v>800</v>
      </c>
      <c r="B16" s="598"/>
      <c r="C16" s="598"/>
      <c r="D16" s="598"/>
      <c r="E16" s="598"/>
      <c r="F16" s="598"/>
      <c r="G16" s="598"/>
    </row>
    <row r="17" spans="1:7" ht="17.25" customHeight="1" x14ac:dyDescent="0.25">
      <c r="A17" s="1" t="s">
        <v>801</v>
      </c>
      <c r="B17" s="598"/>
      <c r="C17" s="598"/>
      <c r="D17" s="598"/>
      <c r="E17" s="598"/>
      <c r="F17" s="598"/>
      <c r="G17" s="598"/>
    </row>
    <row r="19" spans="1:7" x14ac:dyDescent="0.25">
      <c r="A19" s="557" t="s">
        <v>299</v>
      </c>
    </row>
    <row r="20" spans="1:7" x14ac:dyDescent="0.25">
      <c r="A20" s="557"/>
    </row>
    <row r="21" spans="1:7" x14ac:dyDescent="0.25">
      <c r="A21" s="1" t="s">
        <v>802</v>
      </c>
    </row>
    <row r="22" spans="1:7" x14ac:dyDescent="0.25">
      <c r="A22" s="1" t="s">
        <v>803</v>
      </c>
      <c r="B22" s="598"/>
      <c r="C22" s="598"/>
      <c r="D22" s="598"/>
      <c r="E22" s="598"/>
      <c r="F22" s="598"/>
    </row>
    <row r="23" spans="1:7" x14ac:dyDescent="0.25">
      <c r="B23" s="598"/>
      <c r="C23" s="598"/>
      <c r="D23" s="598"/>
      <c r="E23" s="598"/>
      <c r="F23" s="598"/>
    </row>
    <row r="24" spans="1:7" x14ac:dyDescent="0.25">
      <c r="A24" s="557" t="s">
        <v>804</v>
      </c>
      <c r="B24" s="248"/>
      <c r="C24" s="248"/>
      <c r="D24" s="248"/>
      <c r="E24" s="248"/>
      <c r="F24" s="248"/>
      <c r="G24" s="248"/>
    </row>
    <row r="25" spans="1:7" x14ac:dyDescent="0.25">
      <c r="B25" s="598"/>
      <c r="C25" s="598"/>
      <c r="D25" s="598"/>
      <c r="E25" s="598"/>
      <c r="F25" s="598"/>
    </row>
    <row r="26" spans="1:7" x14ac:dyDescent="0.25">
      <c r="A26" s="599" t="str">
        <f>CONCATENATE("Well, let's look to see if any of your ",[1]inputPrYr!C6-1," expenditures can be reduced or eliminated.  For example,")</f>
        <v>Well, let's look to see if any of your 2023 expenditures can be reduced or eliminated.  For example,</v>
      </c>
      <c r="B26" s="598"/>
      <c r="C26" s="598"/>
      <c r="D26" s="598"/>
      <c r="E26" s="598"/>
      <c r="F26" s="598"/>
    </row>
    <row r="27" spans="1:7" x14ac:dyDescent="0.25">
      <c r="A27" s="599" t="s">
        <v>805</v>
      </c>
      <c r="B27" s="598"/>
      <c r="C27" s="598"/>
      <c r="D27" s="598"/>
      <c r="E27" s="598"/>
      <c r="F27" s="598"/>
    </row>
    <row r="28" spans="1:7" x14ac:dyDescent="0.25">
      <c r="A28" s="599" t="s">
        <v>806</v>
      </c>
      <c r="B28" s="598"/>
      <c r="C28" s="598"/>
      <c r="D28" s="598"/>
      <c r="E28" s="598"/>
      <c r="F28" s="598"/>
    </row>
    <row r="29" spans="1:7" x14ac:dyDescent="0.25">
      <c r="A29" s="599"/>
      <c r="B29" s="598"/>
      <c r="C29" s="598"/>
      <c r="D29" s="598"/>
      <c r="E29" s="598"/>
      <c r="F29" s="598"/>
    </row>
    <row r="30" spans="1:7" x14ac:dyDescent="0.25">
      <c r="A30" s="599" t="str">
        <f>CONCATENATE("Additionally, do your ",[1]inputPrYr!C6-1," receipts contain a reimbursement (e.g. FEMA)?  If so, instead of showing")</f>
        <v>Additionally, do your 2023 receipts contain a reimbursement (e.g. FEMA)?  If so, instead of showing</v>
      </c>
      <c r="B30" s="598"/>
      <c r="C30" s="598"/>
      <c r="D30" s="598"/>
      <c r="E30" s="598"/>
      <c r="F30" s="598"/>
    </row>
    <row r="31" spans="1:7" x14ac:dyDescent="0.25">
      <c r="A31" s="599" t="s">
        <v>807</v>
      </c>
      <c r="B31" s="598"/>
      <c r="C31" s="598"/>
      <c r="D31" s="598"/>
      <c r="E31" s="598"/>
      <c r="F31" s="598"/>
    </row>
    <row r="32" spans="1:7" x14ac:dyDescent="0.25">
      <c r="A32" s="599"/>
      <c r="B32" s="598"/>
      <c r="C32" s="598"/>
      <c r="D32" s="598"/>
      <c r="E32" s="598"/>
      <c r="F32" s="598"/>
    </row>
    <row r="33" spans="1:6" x14ac:dyDescent="0.25">
      <c r="A33" s="599" t="s">
        <v>808</v>
      </c>
      <c r="B33" s="598"/>
      <c r="C33" s="598"/>
      <c r="D33" s="598"/>
      <c r="E33" s="598"/>
      <c r="F33" s="598"/>
    </row>
    <row r="34" spans="1:6" x14ac:dyDescent="0.25">
      <c r="A34" s="599" t="s">
        <v>809</v>
      </c>
      <c r="B34" s="598"/>
      <c r="C34" s="598"/>
      <c r="D34" s="598"/>
      <c r="E34" s="598"/>
      <c r="F34" s="598"/>
    </row>
    <row r="35" spans="1:6" x14ac:dyDescent="0.25">
      <c r="A35" s="599" t="s">
        <v>810</v>
      </c>
      <c r="B35" s="598"/>
      <c r="C35" s="598"/>
      <c r="D35" s="598"/>
      <c r="E35" s="598"/>
      <c r="F35" s="598"/>
    </row>
    <row r="36" spans="1:6" x14ac:dyDescent="0.25">
      <c r="A36" s="599" t="s">
        <v>811</v>
      </c>
      <c r="B36" s="598"/>
      <c r="C36" s="598"/>
      <c r="D36" s="598"/>
      <c r="E36" s="598"/>
      <c r="F36" s="598"/>
    </row>
    <row r="37" spans="1:6" x14ac:dyDescent="0.25">
      <c r="A37" s="599" t="s">
        <v>290</v>
      </c>
      <c r="B37" s="598"/>
      <c r="C37" s="598"/>
      <c r="D37" s="598"/>
      <c r="E37" s="598"/>
      <c r="F37" s="598"/>
    </row>
    <row r="38" spans="1:6" x14ac:dyDescent="0.25">
      <c r="A38" s="599"/>
      <c r="B38" s="598"/>
      <c r="C38" s="598"/>
      <c r="D38" s="598"/>
      <c r="E38" s="598"/>
      <c r="F38" s="598"/>
    </row>
    <row r="39" spans="1:6" x14ac:dyDescent="0.25">
      <c r="A39" s="599" t="s">
        <v>750</v>
      </c>
      <c r="B39" s="598"/>
      <c r="C39" s="598"/>
      <c r="D39" s="598"/>
      <c r="E39" s="598"/>
      <c r="F39" s="598"/>
    </row>
    <row r="40" spans="1:6" x14ac:dyDescent="0.25">
      <c r="A40" s="599" t="s">
        <v>751</v>
      </c>
      <c r="B40" s="598"/>
      <c r="C40" s="598"/>
      <c r="D40" s="598"/>
      <c r="E40" s="598"/>
      <c r="F40" s="598"/>
    </row>
    <row r="41" spans="1:6" x14ac:dyDescent="0.25">
      <c r="A41" s="599"/>
      <c r="B41" s="598"/>
      <c r="C41" s="598"/>
      <c r="D41" s="598"/>
      <c r="E41" s="598"/>
      <c r="F41" s="598"/>
    </row>
    <row r="42" spans="1:6" x14ac:dyDescent="0.25">
      <c r="A42" s="599" t="s">
        <v>812</v>
      </c>
      <c r="B42" s="598"/>
      <c r="C42" s="598"/>
      <c r="D42" s="598"/>
      <c r="E42" s="598"/>
      <c r="F42" s="598"/>
    </row>
    <row r="43" spans="1:6" x14ac:dyDescent="0.25">
      <c r="A43" s="599" t="s">
        <v>813</v>
      </c>
      <c r="B43" s="598"/>
      <c r="C43" s="598"/>
      <c r="D43" s="598"/>
      <c r="E43" s="598"/>
      <c r="F43" s="598"/>
    </row>
    <row r="44" spans="1:6" x14ac:dyDescent="0.25">
      <c r="A44" s="599" t="s">
        <v>814</v>
      </c>
      <c r="B44" s="598"/>
      <c r="C44" s="598"/>
      <c r="D44" s="598"/>
      <c r="E44" s="598"/>
      <c r="F44" s="598"/>
    </row>
    <row r="45" spans="1:6" x14ac:dyDescent="0.25">
      <c r="A45" s="599"/>
      <c r="B45" s="598"/>
      <c r="C45" s="598"/>
      <c r="D45" s="598"/>
      <c r="E45" s="598"/>
      <c r="F45" s="598"/>
    </row>
    <row r="46" spans="1:6" x14ac:dyDescent="0.25">
      <c r="A46" s="599" t="s">
        <v>815</v>
      </c>
      <c r="B46" s="598"/>
      <c r="C46" s="598"/>
      <c r="D46" s="598"/>
      <c r="E46" s="598"/>
      <c r="F46" s="598"/>
    </row>
    <row r="47" spans="1:6" x14ac:dyDescent="0.25">
      <c r="A47" s="599" t="s">
        <v>816</v>
      </c>
      <c r="B47" s="598"/>
      <c r="C47" s="598"/>
      <c r="D47" s="598"/>
      <c r="E47" s="598"/>
      <c r="F47" s="598"/>
    </row>
    <row r="48" spans="1:6" x14ac:dyDescent="0.25">
      <c r="A48" s="599" t="s">
        <v>817</v>
      </c>
    </row>
    <row r="50" spans="1:1" x14ac:dyDescent="0.25">
      <c r="A50" s="1" t="s">
        <v>818</v>
      </c>
    </row>
    <row r="51" spans="1:1" x14ac:dyDescent="0.25">
      <c r="A51" s="1" t="s">
        <v>819</v>
      </c>
    </row>
    <row r="52" spans="1:1" x14ac:dyDescent="0.25">
      <c r="A52" s="1" t="s">
        <v>820</v>
      </c>
    </row>
    <row r="53" spans="1:1" x14ac:dyDescent="0.25">
      <c r="A53" s="1" t="s">
        <v>821</v>
      </c>
    </row>
    <row r="55" spans="1:1" x14ac:dyDescent="0.25">
      <c r="A55" s="1" t="s">
        <v>292</v>
      </c>
    </row>
  </sheetData>
  <sheetProtection sheet="1" objects="1" scenarios="1"/>
  <mergeCells count="1">
    <mergeCell ref="A1:A2"/>
  </mergeCells>
  <pageMargins left="0.7" right="0.7" top="0.75" bottom="0.75" header="0.3" footer="0.3"/>
  <pageSetup orientation="portrait" r:id="rId1"/>
  <headerFooter>
    <oddFooter>&amp;Lrevised 10/2/09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9"/>
  <sheetViews>
    <sheetView workbookViewId="0">
      <selection sqref="A1:A2"/>
    </sheetView>
  </sheetViews>
  <sheetFormatPr defaultRowHeight="15.75" x14ac:dyDescent="0.25"/>
  <cols>
    <col min="1" max="1" width="66.77734375" style="1" customWidth="1"/>
  </cols>
  <sheetData>
    <row r="1" spans="1:7" ht="15.75" customHeight="1" x14ac:dyDescent="0.2">
      <c r="A1" s="780" t="s">
        <v>653</v>
      </c>
    </row>
    <row r="2" spans="1:7" ht="15.75" customHeight="1" x14ac:dyDescent="0.2">
      <c r="A2" s="780"/>
    </row>
    <row r="3" spans="1:7" x14ac:dyDescent="0.25">
      <c r="A3" s="555" t="s">
        <v>300</v>
      </c>
      <c r="B3" s="597"/>
      <c r="C3" s="597"/>
      <c r="D3" s="597"/>
      <c r="E3" s="597"/>
      <c r="F3" s="597"/>
      <c r="G3" s="597"/>
    </row>
    <row r="4" spans="1:7" x14ac:dyDescent="0.25">
      <c r="A4" s="555"/>
      <c r="B4" s="597"/>
      <c r="C4" s="597"/>
      <c r="D4" s="597"/>
      <c r="E4" s="597"/>
      <c r="F4" s="597"/>
      <c r="G4" s="597"/>
    </row>
    <row r="5" spans="1:7" x14ac:dyDescent="0.25">
      <c r="A5" s="1" t="str">
        <f>CONCATENATE("Welcome.  You have been directed to this tab because your ",[1]inputPrYr!C6," estimated expenditures show")</f>
        <v>Welcome.  You have been directed to this tab because your 2024 estimated expenditures show</v>
      </c>
    </row>
    <row r="6" spans="1:7" x14ac:dyDescent="0.25">
      <c r="A6" s="1" t="s">
        <v>822</v>
      </c>
    </row>
    <row r="8" spans="1:7" x14ac:dyDescent="0.25">
      <c r="A8" s="1" t="s">
        <v>767</v>
      </c>
    </row>
    <row r="9" spans="1:7" x14ac:dyDescent="0.25">
      <c r="A9" s="1" t="s">
        <v>296</v>
      </c>
    </row>
    <row r="10" spans="1:7" x14ac:dyDescent="0.25">
      <c r="A10" s="555"/>
      <c r="B10" s="597"/>
      <c r="C10" s="597"/>
      <c r="D10" s="597"/>
      <c r="E10" s="597"/>
      <c r="F10" s="597"/>
      <c r="G10" s="597"/>
    </row>
    <row r="11" spans="1:7" x14ac:dyDescent="0.25">
      <c r="A11" s="557" t="s">
        <v>302</v>
      </c>
    </row>
    <row r="13" spans="1:7" x14ac:dyDescent="0.25">
      <c r="A13" s="1" t="s">
        <v>823</v>
      </c>
    </row>
    <row r="14" spans="1:7" x14ac:dyDescent="0.25">
      <c r="A14" s="1" t="s">
        <v>303</v>
      </c>
    </row>
    <row r="16" spans="1:7" x14ac:dyDescent="0.25">
      <c r="A16" s="1" t="s">
        <v>824</v>
      </c>
    </row>
    <row r="17" spans="1:7" x14ac:dyDescent="0.25">
      <c r="A17" s="1" t="s">
        <v>825</v>
      </c>
    </row>
    <row r="19" spans="1:7" x14ac:dyDescent="0.25">
      <c r="A19" s="557" t="s">
        <v>299</v>
      </c>
    </row>
    <row r="20" spans="1:7" x14ac:dyDescent="0.25">
      <c r="A20" s="557"/>
    </row>
    <row r="21" spans="1:7" x14ac:dyDescent="0.25">
      <c r="A21" s="1" t="s">
        <v>826</v>
      </c>
    </row>
    <row r="22" spans="1:7" x14ac:dyDescent="0.25">
      <c r="A22" s="1" t="s">
        <v>827</v>
      </c>
      <c r="B22" s="598"/>
      <c r="C22" s="598"/>
      <c r="D22" s="598"/>
      <c r="E22" s="598"/>
      <c r="F22" s="598"/>
    </row>
    <row r="23" spans="1:7" x14ac:dyDescent="0.25">
      <c r="B23" s="598"/>
      <c r="C23" s="598"/>
      <c r="D23" s="598"/>
      <c r="E23" s="598"/>
      <c r="F23" s="598"/>
    </row>
    <row r="25" spans="1:7" x14ac:dyDescent="0.25">
      <c r="A25" s="557" t="s">
        <v>804</v>
      </c>
      <c r="B25" s="248"/>
      <c r="C25" s="248"/>
      <c r="D25" s="248"/>
      <c r="E25" s="248"/>
      <c r="F25" s="248"/>
      <c r="G25" s="248"/>
    </row>
    <row r="26" spans="1:7" x14ac:dyDescent="0.25">
      <c r="A26" s="557"/>
      <c r="B26" s="248"/>
      <c r="C26" s="248"/>
      <c r="D26" s="248"/>
      <c r="E26" s="248"/>
      <c r="F26" s="248"/>
      <c r="G26" s="248"/>
    </row>
    <row r="27" spans="1:7" x14ac:dyDescent="0.25">
      <c r="A27" s="1" t="s">
        <v>828</v>
      </c>
      <c r="B27" s="598"/>
      <c r="C27" s="598"/>
      <c r="D27" s="598"/>
      <c r="E27" s="598"/>
      <c r="F27" s="598"/>
      <c r="G27" s="598"/>
    </row>
    <row r="28" spans="1:7" x14ac:dyDescent="0.25">
      <c r="A28" s="1" t="s">
        <v>829</v>
      </c>
      <c r="B28" s="598"/>
      <c r="C28" s="598"/>
      <c r="D28" s="598"/>
      <c r="E28" s="598"/>
      <c r="F28" s="598"/>
      <c r="G28" s="598"/>
    </row>
    <row r="29" spans="1:7" x14ac:dyDescent="0.25">
      <c r="A29" s="1" t="s">
        <v>830</v>
      </c>
      <c r="B29" s="598"/>
      <c r="C29" s="598"/>
      <c r="D29" s="598"/>
      <c r="E29" s="598"/>
      <c r="F29" s="598"/>
      <c r="G29" s="598"/>
    </row>
    <row r="30" spans="1:7" x14ac:dyDescent="0.25">
      <c r="A30" s="557"/>
      <c r="B30" s="248"/>
      <c r="C30" s="248"/>
      <c r="D30" s="248"/>
      <c r="E30" s="248"/>
      <c r="F30" s="248"/>
      <c r="G30" s="248"/>
    </row>
    <row r="31" spans="1:7" x14ac:dyDescent="0.25">
      <c r="A31" s="599" t="str">
        <f>CONCATENATE("So, let's look to see if any of your ",[1]inputPrYr!C6-1," expenditures can be reduced or eliminated. For example,")</f>
        <v>So, let's look to see if any of your 2023 expenditures can be reduced or eliminated. For example,</v>
      </c>
      <c r="B31" s="598"/>
      <c r="C31" s="598"/>
      <c r="D31" s="598"/>
      <c r="E31" s="598"/>
      <c r="F31" s="598"/>
    </row>
    <row r="32" spans="1:7" x14ac:dyDescent="0.25">
      <c r="A32" s="599" t="s">
        <v>743</v>
      </c>
      <c r="B32" s="598"/>
      <c r="C32" s="598"/>
      <c r="D32" s="598"/>
      <c r="E32" s="598"/>
      <c r="F32" s="598"/>
    </row>
    <row r="33" spans="1:7" x14ac:dyDescent="0.25">
      <c r="A33" s="599" t="s">
        <v>744</v>
      </c>
      <c r="B33" s="598"/>
      <c r="C33" s="598"/>
      <c r="D33" s="598"/>
      <c r="E33" s="598"/>
      <c r="F33" s="598"/>
    </row>
    <row r="35" spans="1:7" x14ac:dyDescent="0.25">
      <c r="A35" s="599" t="str">
        <f>CONCATENATE("Additionally, do your ",[1]inputPrYr!C6-1," receipts contain a reimbursement (e.g. FEMA)?  If so, instead of")</f>
        <v>Additionally, do your 2023 receipts contain a reimbursement (e.g. FEMA)?  If so, instead of</v>
      </c>
      <c r="B35" s="598"/>
      <c r="C35" s="598"/>
      <c r="D35" s="598"/>
      <c r="E35" s="598"/>
      <c r="F35" s="598"/>
    </row>
    <row r="36" spans="1:7" x14ac:dyDescent="0.25">
      <c r="A36" s="599" t="s">
        <v>831</v>
      </c>
      <c r="B36" s="598"/>
      <c r="C36" s="598"/>
      <c r="D36" s="598"/>
      <c r="E36" s="598"/>
      <c r="F36" s="598"/>
    </row>
    <row r="37" spans="1:7" x14ac:dyDescent="0.25">
      <c r="B37" s="598"/>
      <c r="C37" s="598"/>
      <c r="D37" s="598"/>
      <c r="E37" s="598"/>
      <c r="F37" s="598"/>
      <c r="G37" s="598"/>
    </row>
    <row r="38" spans="1:7" x14ac:dyDescent="0.25">
      <c r="A38" s="1" t="s">
        <v>832</v>
      </c>
      <c r="B38" s="598"/>
      <c r="C38" s="598"/>
      <c r="D38" s="598"/>
      <c r="E38" s="598"/>
      <c r="F38" s="598"/>
      <c r="G38" s="598"/>
    </row>
    <row r="39" spans="1:7" x14ac:dyDescent="0.25">
      <c r="A39" s="1" t="s">
        <v>833</v>
      </c>
      <c r="B39" s="598"/>
      <c r="C39" s="598"/>
      <c r="D39" s="598"/>
      <c r="E39" s="598"/>
      <c r="F39" s="598"/>
      <c r="G39" s="598"/>
    </row>
    <row r="40" spans="1:7" x14ac:dyDescent="0.25">
      <c r="A40" s="1" t="s">
        <v>834</v>
      </c>
      <c r="B40" s="598"/>
      <c r="C40" s="598"/>
      <c r="D40" s="598"/>
      <c r="E40" s="598"/>
      <c r="F40" s="598"/>
      <c r="G40" s="598"/>
    </row>
    <row r="41" spans="1:7" x14ac:dyDescent="0.25">
      <c r="B41" s="598"/>
      <c r="C41" s="598"/>
      <c r="D41" s="598"/>
      <c r="E41" s="598"/>
      <c r="F41" s="598"/>
      <c r="G41" s="598"/>
    </row>
    <row r="42" spans="1:7" x14ac:dyDescent="0.25">
      <c r="A42" s="599" t="s">
        <v>750</v>
      </c>
      <c r="B42" s="598"/>
      <c r="C42" s="598"/>
      <c r="D42" s="598"/>
      <c r="E42" s="598"/>
      <c r="F42" s="598"/>
    </row>
    <row r="43" spans="1:7" x14ac:dyDescent="0.25">
      <c r="A43" s="599" t="s">
        <v>751</v>
      </c>
      <c r="B43" s="598"/>
      <c r="C43" s="598"/>
      <c r="D43" s="598"/>
      <c r="E43" s="598"/>
      <c r="F43" s="598"/>
    </row>
    <row r="44" spans="1:7" x14ac:dyDescent="0.25">
      <c r="A44" s="599"/>
      <c r="B44" s="598"/>
      <c r="C44" s="598"/>
      <c r="D44" s="598"/>
      <c r="E44" s="598"/>
      <c r="F44" s="598"/>
    </row>
    <row r="45" spans="1:7" x14ac:dyDescent="0.25">
      <c r="A45" s="1" t="s">
        <v>835</v>
      </c>
      <c r="B45" s="598"/>
      <c r="C45" s="598"/>
      <c r="D45" s="598"/>
      <c r="E45" s="598"/>
      <c r="F45" s="598"/>
      <c r="G45" s="598"/>
    </row>
    <row r="46" spans="1:7" x14ac:dyDescent="0.25">
      <c r="A46" s="1" t="s">
        <v>836</v>
      </c>
      <c r="B46" s="598"/>
      <c r="C46" s="598"/>
      <c r="D46" s="598"/>
      <c r="E46" s="598"/>
      <c r="F46" s="598"/>
      <c r="G46" s="598"/>
    </row>
    <row r="47" spans="1:7" x14ac:dyDescent="0.25">
      <c r="A47" s="1" t="s">
        <v>837</v>
      </c>
      <c r="B47" s="598"/>
      <c r="C47" s="598"/>
      <c r="D47" s="598"/>
      <c r="E47" s="598"/>
      <c r="F47" s="598"/>
      <c r="G47" s="598"/>
    </row>
    <row r="49" spans="1:6" x14ac:dyDescent="0.25">
      <c r="A49" s="599" t="s">
        <v>812</v>
      </c>
      <c r="B49" s="598"/>
      <c r="C49" s="598"/>
      <c r="D49" s="598"/>
      <c r="E49" s="598"/>
      <c r="F49" s="598"/>
    </row>
    <row r="50" spans="1:6" x14ac:dyDescent="0.25">
      <c r="A50" s="599" t="s">
        <v>838</v>
      </c>
      <c r="B50" s="598"/>
      <c r="C50" s="598"/>
      <c r="D50" s="598"/>
      <c r="E50" s="598"/>
      <c r="F50" s="598"/>
    </row>
    <row r="51" spans="1:6" x14ac:dyDescent="0.25">
      <c r="A51" s="599" t="s">
        <v>839</v>
      </c>
      <c r="B51" s="598"/>
      <c r="C51" s="598"/>
      <c r="D51" s="598"/>
      <c r="E51" s="598"/>
      <c r="F51" s="598"/>
    </row>
    <row r="53" spans="1:6" x14ac:dyDescent="0.25">
      <c r="A53" s="1" t="s">
        <v>292</v>
      </c>
    </row>
    <row r="59" spans="1:6" x14ac:dyDescent="0.25">
      <c r="A59" s="557"/>
    </row>
  </sheetData>
  <sheetProtection sheet="1" objects="1" scenarios="1"/>
  <mergeCells count="1">
    <mergeCell ref="A1:A2"/>
  </mergeCells>
  <pageMargins left="0.7" right="0.7" top="0.75" bottom="0.75" header="0.3" footer="0.3"/>
  <pageSetup orientation="portrait" r:id="rId1"/>
  <headerFooter>
    <oddFooter>&amp;Lrevised 10/2/09</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9"/>
  <sheetViews>
    <sheetView workbookViewId="0">
      <selection sqref="A1:A2"/>
    </sheetView>
  </sheetViews>
  <sheetFormatPr defaultRowHeight="15.75" x14ac:dyDescent="0.25"/>
  <cols>
    <col min="1" max="1" width="66.77734375" style="1" customWidth="1"/>
  </cols>
  <sheetData>
    <row r="1" spans="1:7" ht="15.75" customHeight="1" x14ac:dyDescent="0.2">
      <c r="A1" s="780" t="s">
        <v>649</v>
      </c>
    </row>
    <row r="2" spans="1:7" ht="15.75" customHeight="1" x14ac:dyDescent="0.2">
      <c r="A2" s="780"/>
    </row>
    <row r="3" spans="1:7" x14ac:dyDescent="0.25">
      <c r="A3" s="555" t="s">
        <v>840</v>
      </c>
      <c r="B3" s="597"/>
      <c r="C3" s="597"/>
      <c r="D3" s="597"/>
      <c r="E3" s="597"/>
      <c r="F3" s="597"/>
      <c r="G3" s="597"/>
    </row>
    <row r="4" spans="1:7" x14ac:dyDescent="0.25">
      <c r="A4" s="555"/>
      <c r="B4" s="597"/>
      <c r="C4" s="597"/>
      <c r="D4" s="597"/>
      <c r="E4" s="597"/>
      <c r="F4" s="597"/>
      <c r="G4" s="597"/>
    </row>
    <row r="5" spans="1:7" x14ac:dyDescent="0.25">
      <c r="A5" s="555"/>
      <c r="B5" s="597"/>
      <c r="C5" s="597"/>
      <c r="D5" s="597"/>
      <c r="E5" s="597"/>
      <c r="F5" s="597"/>
      <c r="G5" s="597"/>
    </row>
    <row r="6" spans="1:7" x14ac:dyDescent="0.25">
      <c r="A6" s="1" t="str">
        <f>CONCATENATE("Welcome. You have been directed to this tab because your estimated ",[1]inputPrYr!C6," total expenditures")</f>
        <v>Welcome. You have been directed to this tab because your estimated 2024 total expenditures</v>
      </c>
    </row>
    <row r="7" spans="1:7" x14ac:dyDescent="0.25">
      <c r="A7" s="1" t="str">
        <f>CONCATENATE("your ",[1]inputPrYr!C6," unemcumbered cash balance Dec 31.")</f>
        <v>your 2024 unemcumbered cash balance Dec 31.</v>
      </c>
    </row>
    <row r="9" spans="1:7" x14ac:dyDescent="0.25">
      <c r="A9" s="1" t="s">
        <v>841</v>
      </c>
    </row>
    <row r="10" spans="1:7" x14ac:dyDescent="0.25">
      <c r="A10" s="1" t="s">
        <v>842</v>
      </c>
    </row>
    <row r="12" spans="1:7" x14ac:dyDescent="0.25">
      <c r="A12" s="557" t="s">
        <v>304</v>
      </c>
    </row>
    <row r="13" spans="1:7" x14ac:dyDescent="0.25">
      <c r="A13" s="555"/>
      <c r="B13" s="597"/>
      <c r="C13" s="597"/>
      <c r="D13" s="597"/>
      <c r="E13" s="597"/>
      <c r="F13" s="597"/>
      <c r="G13" s="597"/>
    </row>
    <row r="14" spans="1:7" x14ac:dyDescent="0.25">
      <c r="A14" s="1" t="s">
        <v>843</v>
      </c>
    </row>
    <row r="15" spans="1:7" x14ac:dyDescent="0.25">
      <c r="A15" s="1" t="s">
        <v>844</v>
      </c>
    </row>
    <row r="17" spans="1:1" x14ac:dyDescent="0.25">
      <c r="A17" s="557" t="s">
        <v>305</v>
      </c>
    </row>
    <row r="19" spans="1:1" x14ac:dyDescent="0.25">
      <c r="A19" s="1" t="s">
        <v>845</v>
      </c>
    </row>
    <row r="20" spans="1:1" x14ac:dyDescent="0.25">
      <c r="A20" s="1" t="s">
        <v>846</v>
      </c>
    </row>
    <row r="22" spans="1:1" x14ac:dyDescent="0.25">
      <c r="A22" s="557" t="s">
        <v>306</v>
      </c>
    </row>
    <row r="24" spans="1:1" x14ac:dyDescent="0.25">
      <c r="A24" s="1" t="s">
        <v>847</v>
      </c>
    </row>
    <row r="25" spans="1:1" x14ac:dyDescent="0.25">
      <c r="A25" s="1" t="s">
        <v>848</v>
      </c>
    </row>
    <row r="26" spans="1:1" x14ac:dyDescent="0.25">
      <c r="A26" s="1" t="s">
        <v>849</v>
      </c>
    </row>
    <row r="28" spans="1:1" x14ac:dyDescent="0.25">
      <c r="A28" s="1" t="s">
        <v>850</v>
      </c>
    </row>
    <row r="29" spans="1:1" x14ac:dyDescent="0.25">
      <c r="A29" s="1" t="s">
        <v>851</v>
      </c>
    </row>
    <row r="30" spans="1:1" x14ac:dyDescent="0.25">
      <c r="A30" s="1" t="s">
        <v>852</v>
      </c>
    </row>
    <row r="32" spans="1:1" x14ac:dyDescent="0.25">
      <c r="A32" s="1" t="s">
        <v>853</v>
      </c>
    </row>
    <row r="33" spans="1:1" x14ac:dyDescent="0.25">
      <c r="A33" s="1" t="s">
        <v>854</v>
      </c>
    </row>
    <row r="34" spans="1:1" x14ac:dyDescent="0.25">
      <c r="A34" s="1" t="s">
        <v>855</v>
      </c>
    </row>
    <row r="36" spans="1:1" x14ac:dyDescent="0.25">
      <c r="A36" s="1" t="s">
        <v>856</v>
      </c>
    </row>
    <row r="37" spans="1:1" x14ac:dyDescent="0.25">
      <c r="A37" s="1" t="s">
        <v>857</v>
      </c>
    </row>
    <row r="39" spans="1:1" x14ac:dyDescent="0.25">
      <c r="A39" s="1" t="s">
        <v>292</v>
      </c>
    </row>
  </sheetData>
  <sheetProtection sheet="1" objects="1" scenarios="1"/>
  <mergeCells count="1">
    <mergeCell ref="A1:A2"/>
  </mergeCells>
  <pageMargins left="0.7" right="0.7" top="0.75" bottom="0.75" header="0.3" footer="0.3"/>
  <pageSetup orientation="portrait" r:id="rId1"/>
  <headerFooter>
    <oddFooter>&amp;Lrevised 10/2/09</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5"/>
  <sheetViews>
    <sheetView workbookViewId="0">
      <selection sqref="A1:A2"/>
    </sheetView>
  </sheetViews>
  <sheetFormatPr defaultRowHeight="15" x14ac:dyDescent="0.2"/>
  <cols>
    <col min="1" max="1" width="3.44140625" customWidth="1"/>
    <col min="2" max="2" width="8" customWidth="1"/>
  </cols>
  <sheetData>
    <row r="1" spans="1:5" ht="15.75" customHeight="1" x14ac:dyDescent="0.2"/>
    <row r="2" spans="1:5" ht="9.75" customHeight="1" x14ac:dyDescent="0.2"/>
    <row r="3" spans="1:5" ht="18" x14ac:dyDescent="0.25">
      <c r="A3" s="600" t="s">
        <v>564</v>
      </c>
    </row>
    <row r="4" spans="1:5" ht="9.75" customHeight="1" x14ac:dyDescent="0.55000000000000004">
      <c r="B4" s="601"/>
    </row>
    <row r="5" spans="1:5" ht="15.75" x14ac:dyDescent="0.2">
      <c r="B5" s="602" t="s">
        <v>858</v>
      </c>
    </row>
    <row r="6" spans="1:5" ht="8.1" customHeight="1" x14ac:dyDescent="0.2">
      <c r="B6" s="602"/>
    </row>
    <row r="7" spans="1:5" ht="15.75" x14ac:dyDescent="0.2">
      <c r="B7" s="602" t="s">
        <v>859</v>
      </c>
    </row>
    <row r="8" spans="1:5" ht="15.75" x14ac:dyDescent="0.2">
      <c r="B8" s="603" t="s">
        <v>860</v>
      </c>
    </row>
    <row r="9" spans="1:5" ht="8.1" customHeight="1" x14ac:dyDescent="0.2">
      <c r="B9" s="603"/>
    </row>
    <row r="10" spans="1:5" ht="15.75" x14ac:dyDescent="0.2">
      <c r="C10" s="604" t="s">
        <v>861</v>
      </c>
      <c r="D10" s="602" t="s">
        <v>862</v>
      </c>
    </row>
    <row r="11" spans="1:5" ht="15.75" customHeight="1" x14ac:dyDescent="0.2">
      <c r="B11" s="602"/>
      <c r="D11" s="602" t="s">
        <v>863</v>
      </c>
    </row>
    <row r="12" spans="1:5" ht="15.75" customHeight="1" x14ac:dyDescent="0.2">
      <c r="B12" s="602"/>
      <c r="D12" s="602"/>
    </row>
    <row r="13" spans="1:5" ht="15.75" customHeight="1" x14ac:dyDescent="0.2">
      <c r="B13" s="602" t="s">
        <v>864</v>
      </c>
      <c r="E13" s="602" t="s">
        <v>865</v>
      </c>
    </row>
    <row r="14" spans="1:5" ht="15.75" customHeight="1" x14ac:dyDescent="0.2">
      <c r="B14" s="602"/>
      <c r="E14" s="602" t="s">
        <v>866</v>
      </c>
    </row>
    <row r="15" spans="1:5" ht="15.75" customHeight="1" x14ac:dyDescent="0.2">
      <c r="B15" s="602"/>
      <c r="E15" s="602" t="s">
        <v>867</v>
      </c>
    </row>
    <row r="16" spans="1:5" ht="15.75" customHeight="1" x14ac:dyDescent="0.2">
      <c r="B16" s="602"/>
      <c r="E16" s="602" t="s">
        <v>868</v>
      </c>
    </row>
    <row r="17" spans="2:5" ht="15.75" customHeight="1" x14ac:dyDescent="0.2">
      <c r="B17" s="602"/>
      <c r="E17" s="602"/>
    </row>
    <row r="18" spans="2:5" ht="15.75" customHeight="1" x14ac:dyDescent="0.2">
      <c r="B18" s="602"/>
      <c r="E18" s="602"/>
    </row>
    <row r="19" spans="2:5" ht="15.75" customHeight="1" x14ac:dyDescent="0.2">
      <c r="B19" s="602"/>
      <c r="E19" s="602"/>
    </row>
    <row r="20" spans="2:5" ht="15.75" customHeight="1" x14ac:dyDescent="0.2">
      <c r="B20" s="602"/>
      <c r="E20" s="602"/>
    </row>
    <row r="21" spans="2:5" ht="15.75" customHeight="1" x14ac:dyDescent="0.2">
      <c r="B21" s="602"/>
      <c r="E21" s="602"/>
    </row>
    <row r="22" spans="2:5" ht="15.75" customHeight="1" x14ac:dyDescent="0.2">
      <c r="B22" s="602"/>
      <c r="E22" s="602"/>
    </row>
    <row r="23" spans="2:5" ht="15.75" customHeight="1" x14ac:dyDescent="0.2">
      <c r="B23" s="602"/>
      <c r="E23" s="602"/>
    </row>
    <row r="24" spans="2:5" ht="15.75" customHeight="1" x14ac:dyDescent="0.2">
      <c r="B24" s="602"/>
      <c r="E24" s="602"/>
    </row>
    <row r="25" spans="2:5" ht="15.75" customHeight="1" x14ac:dyDescent="0.2">
      <c r="B25" s="602"/>
      <c r="E25" s="602"/>
    </row>
    <row r="26" spans="2:5" ht="15.75" customHeight="1" x14ac:dyDescent="0.2">
      <c r="B26" s="602"/>
      <c r="E26" s="602"/>
    </row>
    <row r="27" spans="2:5" ht="15.75" customHeight="1" x14ac:dyDescent="0.2">
      <c r="B27" s="602"/>
      <c r="E27" s="602"/>
    </row>
    <row r="28" spans="2:5" ht="15.75" customHeight="1" x14ac:dyDescent="0.2">
      <c r="B28" s="602"/>
      <c r="E28" s="602"/>
    </row>
    <row r="29" spans="2:5" ht="15.75" customHeight="1" x14ac:dyDescent="0.2">
      <c r="B29" s="602"/>
      <c r="E29" s="602"/>
    </row>
    <row r="30" spans="2:5" ht="15.75" customHeight="1" x14ac:dyDescent="0.2">
      <c r="B30" s="602"/>
      <c r="E30" s="602"/>
    </row>
    <row r="31" spans="2:5" ht="15.75" customHeight="1" x14ac:dyDescent="0.2">
      <c r="B31" s="602"/>
      <c r="E31" s="602"/>
    </row>
    <row r="32" spans="2:5" ht="15.75" customHeight="1" x14ac:dyDescent="0.2">
      <c r="B32" s="602"/>
      <c r="E32" s="602"/>
    </row>
    <row r="33" spans="2:5" ht="15.75" customHeight="1" x14ac:dyDescent="0.2">
      <c r="B33" s="602"/>
      <c r="E33" s="602"/>
    </row>
    <row r="34" spans="2:5" ht="15.75" customHeight="1" x14ac:dyDescent="0.2">
      <c r="B34" s="602"/>
      <c r="E34" s="602"/>
    </row>
    <row r="35" spans="2:5" ht="15.75" customHeight="1" x14ac:dyDescent="0.2">
      <c r="B35" s="602"/>
      <c r="E35" s="602"/>
    </row>
    <row r="36" spans="2:5" ht="15.75" customHeight="1" x14ac:dyDescent="0.2">
      <c r="B36" s="602" t="s">
        <v>869</v>
      </c>
      <c r="D36" s="602"/>
      <c r="E36" s="602" t="s">
        <v>870</v>
      </c>
    </row>
    <row r="37" spans="2:5" ht="15.75" customHeight="1" x14ac:dyDescent="0.2">
      <c r="B37" s="602"/>
      <c r="D37" s="602"/>
      <c r="E37" s="602" t="s">
        <v>871</v>
      </c>
    </row>
    <row r="38" spans="2:5" ht="15.75" customHeight="1" x14ac:dyDescent="0.2">
      <c r="B38" s="602"/>
      <c r="D38" s="602"/>
      <c r="E38" s="602" t="s">
        <v>872</v>
      </c>
    </row>
    <row r="39" spans="2:5" ht="15.75" customHeight="1" x14ac:dyDescent="0.2">
      <c r="B39" s="602"/>
      <c r="D39" s="602"/>
      <c r="E39" s="602" t="s">
        <v>873</v>
      </c>
    </row>
    <row r="40" spans="2:5" ht="15.75" customHeight="1" x14ac:dyDescent="0.2"/>
    <row r="41" spans="2:5" ht="15.75" customHeight="1" x14ac:dyDescent="0.2">
      <c r="B41" s="602" t="s">
        <v>564</v>
      </c>
      <c r="E41" s="605" t="s">
        <v>874</v>
      </c>
    </row>
    <row r="42" spans="2:5" ht="15.75" customHeight="1" x14ac:dyDescent="0.2">
      <c r="B42" s="602"/>
      <c r="E42" s="605"/>
    </row>
    <row r="43" spans="2:5" ht="15.75" customHeight="1" x14ac:dyDescent="0.2">
      <c r="E43" s="605"/>
    </row>
    <row r="44" spans="2:5" ht="15.75" customHeight="1" x14ac:dyDescent="0.2">
      <c r="B44" s="602" t="s">
        <v>875</v>
      </c>
      <c r="D44" s="602"/>
      <c r="E44" s="605" t="s">
        <v>876</v>
      </c>
    </row>
    <row r="45" spans="2:5" ht="15.75" customHeight="1" x14ac:dyDescent="0.2">
      <c r="B45" s="602"/>
      <c r="D45" s="602"/>
      <c r="E45" s="602"/>
    </row>
    <row r="46" spans="2:5" ht="15.75" customHeight="1" x14ac:dyDescent="0.2">
      <c r="B46" s="602"/>
      <c r="D46" s="602"/>
    </row>
    <row r="47" spans="2:5" ht="15.75" customHeight="1" x14ac:dyDescent="0.2">
      <c r="B47" s="602"/>
      <c r="D47" s="602"/>
    </row>
    <row r="48" spans="2:5" ht="15.75" customHeight="1" x14ac:dyDescent="0.2">
      <c r="B48" s="602"/>
      <c r="D48" s="602"/>
    </row>
    <row r="49" spans="1:14" ht="15.75" customHeight="1" x14ac:dyDescent="0.2">
      <c r="B49" s="602"/>
      <c r="D49" s="602"/>
    </row>
    <row r="50" spans="1:14" ht="15.75" customHeight="1" x14ac:dyDescent="0.2">
      <c r="B50" s="602"/>
      <c r="D50" s="602"/>
    </row>
    <row r="51" spans="1:14" ht="15.75" customHeight="1" x14ac:dyDescent="0.2">
      <c r="B51" s="602"/>
      <c r="D51" s="602"/>
    </row>
    <row r="52" spans="1:14" ht="15.75" customHeight="1" x14ac:dyDescent="0.2">
      <c r="B52" s="602"/>
      <c r="D52" s="602"/>
    </row>
    <row r="53" spans="1:14" ht="15.75" customHeight="1" x14ac:dyDescent="0.2">
      <c r="B53" s="602"/>
      <c r="D53" s="602"/>
    </row>
    <row r="54" spans="1:14" ht="15.75" customHeight="1" x14ac:dyDescent="0.2">
      <c r="B54" s="602"/>
      <c r="D54" s="602"/>
    </row>
    <row r="55" spans="1:14" ht="15.75" customHeight="1" x14ac:dyDescent="0.2">
      <c r="B55" s="602"/>
    </row>
    <row r="56" spans="1:14" ht="15.75" customHeight="1" x14ac:dyDescent="0.2">
      <c r="B56" s="602"/>
    </row>
    <row r="57" spans="1:14" ht="15.75" customHeight="1" x14ac:dyDescent="0.2">
      <c r="B57" s="602"/>
    </row>
    <row r="58" spans="1:14" ht="15.75" customHeight="1" x14ac:dyDescent="0.2">
      <c r="B58" s="602"/>
    </row>
    <row r="59" spans="1:14" ht="3" customHeight="1" x14ac:dyDescent="0.2">
      <c r="A59" s="606"/>
      <c r="B59" s="607"/>
      <c r="C59" s="606"/>
      <c r="D59" s="606"/>
      <c r="E59" s="606"/>
      <c r="F59" s="606"/>
      <c r="G59" s="606"/>
      <c r="H59" s="606"/>
      <c r="I59" s="606"/>
      <c r="J59" s="606"/>
      <c r="K59" s="606"/>
      <c r="L59" s="606"/>
      <c r="M59" s="606"/>
      <c r="N59" s="606"/>
    </row>
    <row r="60" spans="1:14" ht="15.75" customHeight="1" x14ac:dyDescent="0.2">
      <c r="B60" s="602"/>
    </row>
    <row r="61" spans="1:14" ht="15.75" customHeight="1" x14ac:dyDescent="0.25">
      <c r="A61" s="781" t="s">
        <v>516</v>
      </c>
      <c r="B61" s="781"/>
      <c r="C61" s="781"/>
      <c r="D61" s="781"/>
      <c r="E61" s="781"/>
      <c r="F61" s="781"/>
      <c r="G61" s="781"/>
      <c r="H61" s="781"/>
      <c r="I61" s="781"/>
      <c r="J61" s="781"/>
      <c r="K61" s="608"/>
    </row>
    <row r="62" spans="1:14" ht="21.75" customHeight="1" x14ac:dyDescent="0.25">
      <c r="A62" s="781"/>
      <c r="B62" s="781"/>
      <c r="C62" s="781"/>
      <c r="D62" s="781"/>
      <c r="E62" s="781"/>
      <c r="F62" s="781"/>
      <c r="G62" s="781"/>
      <c r="H62" s="781"/>
      <c r="I62" s="781"/>
      <c r="J62" s="781"/>
      <c r="K62" s="608"/>
    </row>
    <row r="63" spans="1:14" ht="15.75" customHeight="1" x14ac:dyDescent="0.2">
      <c r="B63" s="602"/>
    </row>
    <row r="64" spans="1:14" ht="15.75" x14ac:dyDescent="0.2">
      <c r="B64" s="602"/>
    </row>
    <row r="65" spans="2:2" ht="18.75" customHeight="1" x14ac:dyDescent="0.2">
      <c r="B65" s="602"/>
    </row>
    <row r="66" spans="2:2" ht="13.5" customHeight="1" x14ac:dyDescent="0.2">
      <c r="B66" s="602"/>
    </row>
    <row r="67" spans="2:2" ht="15.75" x14ac:dyDescent="0.2">
      <c r="B67" s="602"/>
    </row>
    <row r="82" spans="12:12" x14ac:dyDescent="0.2">
      <c r="L82" s="609"/>
    </row>
    <row r="214" spans="1:14" ht="3" customHeight="1" x14ac:dyDescent="0.2">
      <c r="A214" s="606"/>
      <c r="B214" s="607"/>
      <c r="C214" s="606"/>
      <c r="D214" s="606"/>
      <c r="E214" s="606"/>
      <c r="F214" s="606"/>
      <c r="G214" s="606"/>
      <c r="H214" s="606"/>
      <c r="I214" s="606"/>
      <c r="J214" s="606"/>
      <c r="K214" s="606"/>
      <c r="L214" s="606"/>
      <c r="M214" s="606"/>
      <c r="N214" s="606"/>
    </row>
    <row r="217" spans="1:14" ht="18" x14ac:dyDescent="0.25">
      <c r="A217" s="610" t="s">
        <v>325</v>
      </c>
      <c r="B217" s="611"/>
    </row>
    <row r="218" spans="1:14" ht="15.75" x14ac:dyDescent="0.25">
      <c r="B218" s="1"/>
    </row>
    <row r="219" spans="1:14" ht="30" customHeight="1" x14ac:dyDescent="0.25">
      <c r="B219" s="761" t="s">
        <v>326</v>
      </c>
      <c r="C219" s="761"/>
      <c r="D219" s="761"/>
      <c r="E219" s="761"/>
      <c r="F219" s="761"/>
      <c r="G219" s="761"/>
      <c r="H219" s="761"/>
      <c r="I219" s="761"/>
      <c r="J219" s="294"/>
    </row>
    <row r="220" spans="1:14" ht="15.75" x14ac:dyDescent="0.25">
      <c r="B220" s="612" t="s">
        <v>663</v>
      </c>
    </row>
    <row r="221" spans="1:14" ht="15.75" x14ac:dyDescent="0.25">
      <c r="B221" s="1"/>
    </row>
    <row r="222" spans="1:14" ht="45.75" customHeight="1" x14ac:dyDescent="0.25">
      <c r="B222" s="761" t="s">
        <v>327</v>
      </c>
      <c r="C222" s="761"/>
      <c r="D222" s="761"/>
      <c r="E222" s="761"/>
      <c r="F222" s="761"/>
      <c r="G222" s="761"/>
      <c r="H222" s="761"/>
    </row>
    <row r="223" spans="1:14" ht="15.75" x14ac:dyDescent="0.25">
      <c r="B223" s="612" t="s">
        <v>664</v>
      </c>
    </row>
    <row r="224" spans="1:14" ht="15.75" x14ac:dyDescent="0.25">
      <c r="B224" s="1"/>
    </row>
    <row r="225" spans="2:2" ht="15.75" x14ac:dyDescent="0.25">
      <c r="B225" s="1" t="s">
        <v>665</v>
      </c>
    </row>
    <row r="226" spans="2:2" ht="15.75" x14ac:dyDescent="0.25">
      <c r="B226" s="612" t="s">
        <v>666</v>
      </c>
    </row>
    <row r="227" spans="2:2" ht="15.75" x14ac:dyDescent="0.25">
      <c r="B227" s="1"/>
    </row>
    <row r="228" spans="2:2" ht="15.75" x14ac:dyDescent="0.25">
      <c r="B228" s="1" t="s">
        <v>328</v>
      </c>
    </row>
    <row r="229" spans="2:2" ht="15.75" x14ac:dyDescent="0.25">
      <c r="B229" s="612" t="s">
        <v>667</v>
      </c>
    </row>
    <row r="230" spans="2:2" ht="15.75" x14ac:dyDescent="0.25">
      <c r="B230" s="1"/>
    </row>
    <row r="231" spans="2:2" ht="15.75" x14ac:dyDescent="0.25">
      <c r="B231" s="1" t="s">
        <v>329</v>
      </c>
    </row>
    <row r="232" spans="2:2" ht="15.75" x14ac:dyDescent="0.25">
      <c r="B232" s="612" t="s">
        <v>668</v>
      </c>
    </row>
    <row r="233" spans="2:2" ht="15.75" x14ac:dyDescent="0.25">
      <c r="B233" s="1"/>
    </row>
    <row r="234" spans="2:2" ht="15.75" x14ac:dyDescent="0.25">
      <c r="B234" s="1" t="s">
        <v>669</v>
      </c>
    </row>
    <row r="235" spans="2:2" ht="15.75" x14ac:dyDescent="0.25">
      <c r="B235" s="612" t="s">
        <v>670</v>
      </c>
    </row>
    <row r="236" spans="2:2" ht="15.75" x14ac:dyDescent="0.25">
      <c r="B236" s="1"/>
    </row>
    <row r="237" spans="2:2" ht="15.75" x14ac:dyDescent="0.25">
      <c r="B237" s="1" t="s">
        <v>330</v>
      </c>
    </row>
    <row r="238" spans="2:2" ht="15.75" x14ac:dyDescent="0.25">
      <c r="B238" s="612" t="s">
        <v>671</v>
      </c>
    </row>
    <row r="239" spans="2:2" ht="15.75" x14ac:dyDescent="0.25">
      <c r="B239" s="1"/>
    </row>
    <row r="240" spans="2:2" ht="15.75" x14ac:dyDescent="0.25">
      <c r="B240" s="1" t="s">
        <v>331</v>
      </c>
    </row>
    <row r="241" spans="2:2" ht="15.75" x14ac:dyDescent="0.25">
      <c r="B241" s="612" t="s">
        <v>672</v>
      </c>
    </row>
    <row r="242" spans="2:2" ht="15.75" x14ac:dyDescent="0.25">
      <c r="B242" s="1"/>
    </row>
    <row r="243" spans="2:2" ht="15.75" x14ac:dyDescent="0.25">
      <c r="B243" s="1" t="s">
        <v>332</v>
      </c>
    </row>
    <row r="244" spans="2:2" ht="15.75" x14ac:dyDescent="0.25">
      <c r="B244" s="612" t="s">
        <v>673</v>
      </c>
    </row>
    <row r="245" spans="2:2" ht="15.75" x14ac:dyDescent="0.25">
      <c r="B245" s="1"/>
    </row>
  </sheetData>
  <sheetProtection sheet="1" objects="1" scenarios="1"/>
  <mergeCells count="3">
    <mergeCell ref="A61:J62"/>
    <mergeCell ref="B219:I219"/>
    <mergeCell ref="B222:H222"/>
  </mergeCells>
  <hyperlinks>
    <hyperlink ref="B244" r:id="rId1"/>
  </hyperlinks>
  <pageMargins left="0.7" right="0.7" top="0.75" bottom="0.75" header="0.3" footer="0.3"/>
  <pageSetup orientation="landscape"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9"/>
  <sheetViews>
    <sheetView workbookViewId="0"/>
  </sheetViews>
  <sheetFormatPr defaultColWidth="8.88671875" defaultRowHeight="15.75" x14ac:dyDescent="0.2"/>
  <cols>
    <col min="1" max="1" width="83.6640625" style="25" customWidth="1"/>
    <col min="2" max="16384" width="8.88671875" style="24"/>
  </cols>
  <sheetData>
    <row r="1" spans="1:1" x14ac:dyDescent="0.2">
      <c r="A1" s="558" t="s">
        <v>877</v>
      </c>
    </row>
    <row r="2" spans="1:1" x14ac:dyDescent="0.2">
      <c r="A2" s="25" t="s">
        <v>878</v>
      </c>
    </row>
    <row r="3" spans="1:1" x14ac:dyDescent="0.2">
      <c r="A3" s="25" t="s">
        <v>879</v>
      </c>
    </row>
    <row r="4" spans="1:1" ht="17.25" customHeight="1" x14ac:dyDescent="0.2">
      <c r="A4" s="25" t="s">
        <v>880</v>
      </c>
    </row>
    <row r="5" spans="1:1" x14ac:dyDescent="0.2">
      <c r="A5" s="25" t="s">
        <v>881</v>
      </c>
    </row>
    <row r="6" spans="1:1" x14ac:dyDescent="0.2">
      <c r="A6" s="25" t="s">
        <v>882</v>
      </c>
    </row>
    <row r="8" spans="1:1" x14ac:dyDescent="0.2">
      <c r="A8" s="558" t="s">
        <v>883</v>
      </c>
    </row>
    <row r="9" spans="1:1" x14ac:dyDescent="0.2">
      <c r="A9" s="25" t="s">
        <v>654</v>
      </c>
    </row>
    <row r="10" spans="1:1" x14ac:dyDescent="0.2">
      <c r="A10" s="25" t="s">
        <v>655</v>
      </c>
    </row>
    <row r="11" spans="1:1" ht="31.5" x14ac:dyDescent="0.2">
      <c r="A11" s="25" t="s">
        <v>656</v>
      </c>
    </row>
    <row r="12" spans="1:1" ht="31.5" x14ac:dyDescent="0.2">
      <c r="A12" s="25" t="s">
        <v>657</v>
      </c>
    </row>
    <row r="13" spans="1:1" x14ac:dyDescent="0.2">
      <c r="A13" s="25" t="s">
        <v>658</v>
      </c>
    </row>
    <row r="14" spans="1:1" ht="31.5" x14ac:dyDescent="0.2">
      <c r="A14" s="25" t="s">
        <v>659</v>
      </c>
    </row>
    <row r="15" spans="1:1" x14ac:dyDescent="0.2">
      <c r="A15" s="25" t="s">
        <v>660</v>
      </c>
    </row>
    <row r="16" spans="1:1" x14ac:dyDescent="0.2">
      <c r="A16" s="25" t="s">
        <v>661</v>
      </c>
    </row>
    <row r="17" spans="1:1" x14ac:dyDescent="0.2">
      <c r="A17" s="25" t="s">
        <v>662</v>
      </c>
    </row>
    <row r="18" spans="1:1" x14ac:dyDescent="0.2">
      <c r="A18" s="25" t="s">
        <v>884</v>
      </c>
    </row>
    <row r="20" spans="1:1" x14ac:dyDescent="0.2">
      <c r="A20" s="558" t="s">
        <v>566</v>
      </c>
    </row>
    <row r="21" spans="1:1" x14ac:dyDescent="0.2">
      <c r="A21" s="25" t="s">
        <v>567</v>
      </c>
    </row>
    <row r="22" spans="1:1" x14ac:dyDescent="0.2">
      <c r="A22" s="25" t="s">
        <v>568</v>
      </c>
    </row>
    <row r="23" spans="1:1" x14ac:dyDescent="0.2">
      <c r="A23" s="25" t="s">
        <v>569</v>
      </c>
    </row>
    <row r="24" spans="1:1" x14ac:dyDescent="0.2">
      <c r="A24" s="25" t="s">
        <v>570</v>
      </c>
    </row>
    <row r="25" spans="1:1" x14ac:dyDescent="0.2">
      <c r="A25" s="25" t="s">
        <v>885</v>
      </c>
    </row>
    <row r="27" spans="1:1" x14ac:dyDescent="0.25">
      <c r="A27" s="613" t="s">
        <v>886</v>
      </c>
    </row>
    <row r="28" spans="1:1" x14ac:dyDescent="0.2">
      <c r="A28" s="25" t="s">
        <v>559</v>
      </c>
    </row>
    <row r="29" spans="1:1" ht="31.5" x14ac:dyDescent="0.2">
      <c r="A29" s="25" t="s">
        <v>560</v>
      </c>
    </row>
    <row r="30" spans="1:1" x14ac:dyDescent="0.2">
      <c r="A30" s="25" t="s">
        <v>561</v>
      </c>
    </row>
    <row r="31" spans="1:1" x14ac:dyDescent="0.2">
      <c r="A31" s="25" t="s">
        <v>562</v>
      </c>
    </row>
    <row r="32" spans="1:1" x14ac:dyDescent="0.2">
      <c r="A32" s="25" t="s">
        <v>563</v>
      </c>
    </row>
    <row r="35" spans="1:1" x14ac:dyDescent="0.25">
      <c r="A35" s="613" t="s">
        <v>887</v>
      </c>
    </row>
    <row r="36" spans="1:1" x14ac:dyDescent="0.2">
      <c r="A36" s="25" t="s">
        <v>552</v>
      </c>
    </row>
    <row r="37" spans="1:1" x14ac:dyDescent="0.2">
      <c r="A37" s="25" t="s">
        <v>553</v>
      </c>
    </row>
    <row r="38" spans="1:1" x14ac:dyDescent="0.2">
      <c r="A38" s="25" t="s">
        <v>554</v>
      </c>
    </row>
    <row r="39" spans="1:1" x14ac:dyDescent="0.2">
      <c r="A39" s="25" t="s">
        <v>555</v>
      </c>
    </row>
    <row r="40" spans="1:1" x14ac:dyDescent="0.2">
      <c r="A40" s="25" t="s">
        <v>556</v>
      </c>
    </row>
    <row r="41" spans="1:1" x14ac:dyDescent="0.2">
      <c r="A41" s="25" t="s">
        <v>557</v>
      </c>
    </row>
    <row r="43" spans="1:1" x14ac:dyDescent="0.25">
      <c r="A43" s="613" t="s">
        <v>542</v>
      </c>
    </row>
    <row r="44" spans="1:1" x14ac:dyDescent="0.2">
      <c r="A44" s="25" t="s">
        <v>543</v>
      </c>
    </row>
    <row r="45" spans="1:1" x14ac:dyDescent="0.2">
      <c r="A45" s="25" t="s">
        <v>544</v>
      </c>
    </row>
    <row r="46" spans="1:1" x14ac:dyDescent="0.2">
      <c r="A46" s="25" t="s">
        <v>545</v>
      </c>
    </row>
    <row r="47" spans="1:1" x14ac:dyDescent="0.2">
      <c r="A47" s="25" t="s">
        <v>546</v>
      </c>
    </row>
    <row r="48" spans="1:1" x14ac:dyDescent="0.2">
      <c r="A48" s="25" t="s">
        <v>547</v>
      </c>
    </row>
    <row r="49" spans="1:1" x14ac:dyDescent="0.2">
      <c r="A49" s="25" t="s">
        <v>548</v>
      </c>
    </row>
    <row r="50" spans="1:1" x14ac:dyDescent="0.2">
      <c r="A50" s="25" t="s">
        <v>549</v>
      </c>
    </row>
    <row r="51" spans="1:1" x14ac:dyDescent="0.2">
      <c r="A51" s="25" t="s">
        <v>550</v>
      </c>
    </row>
    <row r="53" spans="1:1" x14ac:dyDescent="0.25">
      <c r="A53" s="613" t="s">
        <v>536</v>
      </c>
    </row>
    <row r="54" spans="1:1" x14ac:dyDescent="0.2">
      <c r="A54" s="614" t="s">
        <v>537</v>
      </c>
    </row>
    <row r="55" spans="1:1" x14ac:dyDescent="0.2">
      <c r="A55" s="614" t="s">
        <v>538</v>
      </c>
    </row>
    <row r="57" spans="1:1" x14ac:dyDescent="0.25">
      <c r="A57" s="615" t="s">
        <v>888</v>
      </c>
    </row>
    <row r="58" spans="1:1" x14ac:dyDescent="0.25">
      <c r="A58" s="294" t="s">
        <v>535</v>
      </c>
    </row>
    <row r="60" spans="1:1" x14ac:dyDescent="0.25">
      <c r="A60" s="615" t="s">
        <v>889</v>
      </c>
    </row>
    <row r="61" spans="1:1" x14ac:dyDescent="0.25">
      <c r="A61" s="294" t="s">
        <v>890</v>
      </c>
    </row>
    <row r="62" spans="1:1" x14ac:dyDescent="0.25">
      <c r="A62" s="294" t="s">
        <v>891</v>
      </c>
    </row>
    <row r="63" spans="1:1" x14ac:dyDescent="0.25">
      <c r="A63" s="294" t="s">
        <v>892</v>
      </c>
    </row>
    <row r="64" spans="1:1" x14ac:dyDescent="0.25">
      <c r="A64" s="294" t="s">
        <v>893</v>
      </c>
    </row>
    <row r="65" spans="1:1" x14ac:dyDescent="0.25">
      <c r="A65" s="294" t="s">
        <v>894</v>
      </c>
    </row>
    <row r="66" spans="1:1" x14ac:dyDescent="0.25">
      <c r="A66" s="294" t="s">
        <v>895</v>
      </c>
    </row>
    <row r="68" spans="1:1" x14ac:dyDescent="0.2">
      <c r="A68" s="616" t="s">
        <v>532</v>
      </c>
    </row>
    <row r="69" spans="1:1" x14ac:dyDescent="0.2">
      <c r="A69" s="614" t="s">
        <v>533</v>
      </c>
    </row>
    <row r="70" spans="1:1" x14ac:dyDescent="0.2">
      <c r="A70" s="25" t="s">
        <v>534</v>
      </c>
    </row>
    <row r="72" spans="1:1" x14ac:dyDescent="0.2">
      <c r="A72" s="616" t="s">
        <v>896</v>
      </c>
    </row>
    <row r="73" spans="1:1" x14ac:dyDescent="0.2">
      <c r="A73" s="614" t="s">
        <v>530</v>
      </c>
    </row>
    <row r="75" spans="1:1" x14ac:dyDescent="0.2">
      <c r="A75" s="616" t="s">
        <v>897</v>
      </c>
    </row>
    <row r="76" spans="1:1" x14ac:dyDescent="0.2">
      <c r="A76" s="614" t="s">
        <v>898</v>
      </c>
    </row>
    <row r="78" spans="1:1" x14ac:dyDescent="0.2">
      <c r="A78" s="616" t="s">
        <v>899</v>
      </c>
    </row>
    <row r="79" spans="1:1" x14ac:dyDescent="0.2">
      <c r="A79" s="614" t="s">
        <v>508</v>
      </c>
    </row>
    <row r="81" spans="1:1" x14ac:dyDescent="0.2">
      <c r="A81" s="616" t="s">
        <v>507</v>
      </c>
    </row>
    <row r="82" spans="1:1" x14ac:dyDescent="0.2">
      <c r="A82" s="614" t="s">
        <v>506</v>
      </c>
    </row>
    <row r="84" spans="1:1" x14ac:dyDescent="0.2">
      <c r="A84" s="616" t="s">
        <v>492</v>
      </c>
    </row>
    <row r="85" spans="1:1" x14ac:dyDescent="0.2">
      <c r="A85" s="614" t="s">
        <v>493</v>
      </c>
    </row>
    <row r="87" spans="1:1" x14ac:dyDescent="0.2">
      <c r="A87" s="616" t="s">
        <v>900</v>
      </c>
    </row>
    <row r="88" spans="1:1" x14ac:dyDescent="0.2">
      <c r="A88" s="551" t="s">
        <v>491</v>
      </c>
    </row>
    <row r="90" spans="1:1" x14ac:dyDescent="0.2">
      <c r="A90" s="616" t="s">
        <v>901</v>
      </c>
    </row>
    <row r="91" spans="1:1" x14ac:dyDescent="0.2">
      <c r="A91" s="25" t="s">
        <v>902</v>
      </c>
    </row>
    <row r="93" spans="1:1" x14ac:dyDescent="0.2">
      <c r="A93" s="616" t="s">
        <v>494</v>
      </c>
    </row>
    <row r="94" spans="1:1" x14ac:dyDescent="0.2">
      <c r="A94" s="25" t="s">
        <v>490</v>
      </c>
    </row>
    <row r="96" spans="1:1" x14ac:dyDescent="0.2">
      <c r="A96" s="616" t="s">
        <v>495</v>
      </c>
    </row>
    <row r="97" spans="1:1" x14ac:dyDescent="0.2">
      <c r="A97" s="25" t="s">
        <v>489</v>
      </c>
    </row>
    <row r="99" spans="1:1" x14ac:dyDescent="0.2">
      <c r="A99" s="616" t="s">
        <v>496</v>
      </c>
    </row>
    <row r="100" spans="1:1" x14ac:dyDescent="0.2">
      <c r="A100" s="617" t="s">
        <v>488</v>
      </c>
    </row>
    <row r="102" spans="1:1" x14ac:dyDescent="0.2">
      <c r="A102" s="616" t="s">
        <v>497</v>
      </c>
    </row>
    <row r="103" spans="1:1" x14ac:dyDescent="0.2">
      <c r="A103" s="25" t="s">
        <v>484</v>
      </c>
    </row>
    <row r="105" spans="1:1" x14ac:dyDescent="0.2">
      <c r="A105" s="616" t="s">
        <v>903</v>
      </c>
    </row>
    <row r="106" spans="1:1" x14ac:dyDescent="0.2">
      <c r="A106" s="25" t="s">
        <v>904</v>
      </c>
    </row>
    <row r="107" spans="1:1" x14ac:dyDescent="0.2">
      <c r="A107" s="25" t="s">
        <v>905</v>
      </c>
    </row>
    <row r="109" spans="1:1" x14ac:dyDescent="0.2">
      <c r="A109" s="616" t="s">
        <v>498</v>
      </c>
    </row>
    <row r="110" spans="1:1" x14ac:dyDescent="0.2">
      <c r="A110" s="618" t="s">
        <v>483</v>
      </c>
    </row>
    <row r="112" spans="1:1" x14ac:dyDescent="0.2">
      <c r="A112" s="616" t="s">
        <v>499</v>
      </c>
    </row>
    <row r="113" spans="1:1" x14ac:dyDescent="0.2">
      <c r="A113" s="617" t="s">
        <v>380</v>
      </c>
    </row>
    <row r="114" spans="1:1" x14ac:dyDescent="0.2">
      <c r="A114" s="25" t="s">
        <v>381</v>
      </c>
    </row>
    <row r="115" spans="1:1" x14ac:dyDescent="0.2">
      <c r="A115" s="25" t="s">
        <v>382</v>
      </c>
    </row>
    <row r="116" spans="1:1" x14ac:dyDescent="0.2">
      <c r="A116" s="25" t="s">
        <v>383</v>
      </c>
    </row>
    <row r="117" spans="1:1" x14ac:dyDescent="0.2">
      <c r="A117" s="25" t="s">
        <v>384</v>
      </c>
    </row>
    <row r="118" spans="1:1" x14ac:dyDescent="0.2">
      <c r="A118" s="25" t="s">
        <v>385</v>
      </c>
    </row>
    <row r="119" spans="1:1" x14ac:dyDescent="0.2">
      <c r="A119" s="25" t="s">
        <v>386</v>
      </c>
    </row>
    <row r="120" spans="1:1" x14ac:dyDescent="0.2">
      <c r="A120" s="25" t="s">
        <v>387</v>
      </c>
    </row>
    <row r="121" spans="1:1" ht="31.5" x14ac:dyDescent="0.2">
      <c r="A121" s="25" t="s">
        <v>388</v>
      </c>
    </row>
    <row r="122" spans="1:1" ht="48.75" customHeight="1" x14ac:dyDescent="0.2">
      <c r="A122" s="25" t="s">
        <v>389</v>
      </c>
    </row>
    <row r="123" spans="1:1" x14ac:dyDescent="0.2">
      <c r="A123" s="25" t="s">
        <v>390</v>
      </c>
    </row>
    <row r="124" spans="1:1" ht="36" customHeight="1" x14ac:dyDescent="0.2">
      <c r="A124" s="25" t="s">
        <v>391</v>
      </c>
    </row>
    <row r="125" spans="1:1" x14ac:dyDescent="0.2">
      <c r="A125" s="25" t="s">
        <v>392</v>
      </c>
    </row>
    <row r="126" spans="1:1" x14ac:dyDescent="0.2">
      <c r="A126" s="25" t="s">
        <v>393</v>
      </c>
    </row>
    <row r="127" spans="1:1" x14ac:dyDescent="0.2">
      <c r="A127" s="25" t="s">
        <v>394</v>
      </c>
    </row>
    <row r="128" spans="1:1" x14ac:dyDescent="0.2">
      <c r="A128" s="25" t="s">
        <v>395</v>
      </c>
    </row>
    <row r="129" spans="1:1" ht="47.25" x14ac:dyDescent="0.2">
      <c r="A129" s="25" t="s">
        <v>396</v>
      </c>
    </row>
    <row r="130" spans="1:1" x14ac:dyDescent="0.2">
      <c r="A130" s="551" t="s">
        <v>397</v>
      </c>
    </row>
    <row r="131" spans="1:1" ht="31.5" x14ac:dyDescent="0.2">
      <c r="A131" s="25" t="s">
        <v>398</v>
      </c>
    </row>
    <row r="132" spans="1:1" x14ac:dyDescent="0.2">
      <c r="A132" s="25" t="s">
        <v>399</v>
      </c>
    </row>
    <row r="133" spans="1:1" x14ac:dyDescent="0.2">
      <c r="A133" s="25" t="s">
        <v>400</v>
      </c>
    </row>
    <row r="134" spans="1:1" x14ac:dyDescent="0.2">
      <c r="A134" s="25" t="s">
        <v>401</v>
      </c>
    </row>
    <row r="135" spans="1:1" x14ac:dyDescent="0.2">
      <c r="A135" s="25" t="s">
        <v>402</v>
      </c>
    </row>
    <row r="136" spans="1:1" x14ac:dyDescent="0.2">
      <c r="A136" s="25" t="s">
        <v>403</v>
      </c>
    </row>
    <row r="137" spans="1:1" x14ac:dyDescent="0.2">
      <c r="A137" s="25" t="s">
        <v>404</v>
      </c>
    </row>
    <row r="138" spans="1:1" ht="15.75" customHeight="1" x14ac:dyDescent="0.2">
      <c r="A138" s="25" t="s">
        <v>405</v>
      </c>
    </row>
    <row r="139" spans="1:1" ht="31.5" x14ac:dyDescent="0.2">
      <c r="A139" s="25" t="s">
        <v>406</v>
      </c>
    </row>
    <row r="140" spans="1:1" x14ac:dyDescent="0.2">
      <c r="A140" s="25" t="s">
        <v>407</v>
      </c>
    </row>
    <row r="141" spans="1:1" x14ac:dyDescent="0.2">
      <c r="A141" s="25" t="s">
        <v>408</v>
      </c>
    </row>
    <row r="142" spans="1:1" x14ac:dyDescent="0.2">
      <c r="A142" s="25" t="s">
        <v>409</v>
      </c>
    </row>
    <row r="143" spans="1:1" x14ac:dyDescent="0.2">
      <c r="A143" s="25" t="s">
        <v>410</v>
      </c>
    </row>
    <row r="144" spans="1:1" x14ac:dyDescent="0.2">
      <c r="A144" s="25" t="s">
        <v>411</v>
      </c>
    </row>
    <row r="145" spans="1:1" ht="15.75" customHeight="1" x14ac:dyDescent="0.2">
      <c r="A145" s="25" t="s">
        <v>412</v>
      </c>
    </row>
    <row r="146" spans="1:1" x14ac:dyDescent="0.2">
      <c r="A146" s="25" t="s">
        <v>482</v>
      </c>
    </row>
    <row r="147" spans="1:1" x14ac:dyDescent="0.2">
      <c r="A147" s="25" t="s">
        <v>906</v>
      </c>
    </row>
    <row r="149" spans="1:1" x14ac:dyDescent="0.2">
      <c r="A149" s="616" t="s">
        <v>907</v>
      </c>
    </row>
    <row r="150" spans="1:1" ht="31.5" x14ac:dyDescent="0.2">
      <c r="A150" s="25" t="s">
        <v>908</v>
      </c>
    </row>
    <row r="152" spans="1:1" x14ac:dyDescent="0.2">
      <c r="A152" s="616" t="s">
        <v>500</v>
      </c>
    </row>
    <row r="153" spans="1:1" x14ac:dyDescent="0.2">
      <c r="A153" s="25" t="s">
        <v>909</v>
      </c>
    </row>
    <row r="154" spans="1:1" x14ac:dyDescent="0.2">
      <c r="A154" s="25" t="s">
        <v>910</v>
      </c>
    </row>
    <row r="155" spans="1:1" ht="15.75" customHeight="1" x14ac:dyDescent="0.2"/>
    <row r="156" spans="1:1" x14ac:dyDescent="0.2">
      <c r="A156" s="616" t="s">
        <v>911</v>
      </c>
    </row>
    <row r="157" spans="1:1" x14ac:dyDescent="0.2">
      <c r="A157" s="25" t="s">
        <v>912</v>
      </c>
    </row>
    <row r="159" spans="1:1" x14ac:dyDescent="0.2">
      <c r="A159" s="616" t="s">
        <v>913</v>
      </c>
    </row>
    <row r="160" spans="1:1" ht="19.5" customHeight="1" x14ac:dyDescent="0.2">
      <c r="A160" s="25" t="s">
        <v>914</v>
      </c>
    </row>
    <row r="162" spans="1:1" x14ac:dyDescent="0.2">
      <c r="A162" s="616" t="s">
        <v>501</v>
      </c>
    </row>
    <row r="163" spans="1:1" x14ac:dyDescent="0.2">
      <c r="A163" s="298" t="s">
        <v>378</v>
      </c>
    </row>
    <row r="164" spans="1:1" x14ac:dyDescent="0.2">
      <c r="A164" s="298" t="s">
        <v>915</v>
      </c>
    </row>
    <row r="166" spans="1:1" x14ac:dyDescent="0.2">
      <c r="A166" s="616" t="s">
        <v>916</v>
      </c>
    </row>
    <row r="167" spans="1:1" x14ac:dyDescent="0.2">
      <c r="A167" s="25" t="s">
        <v>917</v>
      </c>
    </row>
    <row r="168" spans="1:1" x14ac:dyDescent="0.2">
      <c r="A168" s="25" t="s">
        <v>918</v>
      </c>
    </row>
    <row r="169" spans="1:1" x14ac:dyDescent="0.2">
      <c r="A169" s="25" t="s">
        <v>919</v>
      </c>
    </row>
    <row r="171" spans="1:1" x14ac:dyDescent="0.2">
      <c r="A171" s="616" t="s">
        <v>920</v>
      </c>
    </row>
    <row r="172" spans="1:1" x14ac:dyDescent="0.2">
      <c r="A172" s="298" t="s">
        <v>333</v>
      </c>
    </row>
    <row r="173" spans="1:1" x14ac:dyDescent="0.2">
      <c r="A173" s="298" t="s">
        <v>334</v>
      </c>
    </row>
    <row r="174" spans="1:1" ht="31.5" x14ac:dyDescent="0.2">
      <c r="A174" s="298" t="s">
        <v>921</v>
      </c>
    </row>
    <row r="175" spans="1:1" x14ac:dyDescent="0.2">
      <c r="A175" s="298" t="s">
        <v>355</v>
      </c>
    </row>
    <row r="176" spans="1:1" x14ac:dyDescent="0.2">
      <c r="A176" s="298" t="s">
        <v>356</v>
      </c>
    </row>
    <row r="177" spans="1:1" x14ac:dyDescent="0.2">
      <c r="A177" s="298" t="s">
        <v>357</v>
      </c>
    </row>
    <row r="178" spans="1:1" x14ac:dyDescent="0.2">
      <c r="A178" s="298" t="s">
        <v>358</v>
      </c>
    </row>
    <row r="179" spans="1:1" x14ac:dyDescent="0.2">
      <c r="A179" s="298" t="s">
        <v>359</v>
      </c>
    </row>
    <row r="180" spans="1:1" x14ac:dyDescent="0.2">
      <c r="A180" s="298" t="s">
        <v>360</v>
      </c>
    </row>
    <row r="181" spans="1:1" x14ac:dyDescent="0.2">
      <c r="A181" s="298" t="s">
        <v>361</v>
      </c>
    </row>
    <row r="182" spans="1:1" x14ac:dyDescent="0.2">
      <c r="A182" s="298" t="s">
        <v>362</v>
      </c>
    </row>
    <row r="183" spans="1:1" x14ac:dyDescent="0.2">
      <c r="A183" s="298" t="s">
        <v>363</v>
      </c>
    </row>
    <row r="184" spans="1:1" x14ac:dyDescent="0.2">
      <c r="A184" s="298" t="s">
        <v>364</v>
      </c>
    </row>
    <row r="185" spans="1:1" x14ac:dyDescent="0.2">
      <c r="A185" s="298" t="s">
        <v>922</v>
      </c>
    </row>
    <row r="186" spans="1:1" x14ac:dyDescent="0.2">
      <c r="A186" s="298" t="s">
        <v>365</v>
      </c>
    </row>
    <row r="187" spans="1:1" x14ac:dyDescent="0.2">
      <c r="A187" s="298" t="s">
        <v>366</v>
      </c>
    </row>
    <row r="188" spans="1:1" x14ac:dyDescent="0.2">
      <c r="A188" s="298" t="s">
        <v>367</v>
      </c>
    </row>
    <row r="189" spans="1:1" x14ac:dyDescent="0.2">
      <c r="A189" s="298" t="s">
        <v>368</v>
      </c>
    </row>
    <row r="190" spans="1:1" ht="18" customHeight="1" x14ac:dyDescent="0.2">
      <c r="A190" s="298" t="s">
        <v>369</v>
      </c>
    </row>
    <row r="191" spans="1:1" x14ac:dyDescent="0.2">
      <c r="A191" s="298" t="s">
        <v>370</v>
      </c>
    </row>
    <row r="192" spans="1:1" x14ac:dyDescent="0.2">
      <c r="A192" s="298" t="s">
        <v>371</v>
      </c>
    </row>
    <row r="193" spans="1:1" x14ac:dyDescent="0.2">
      <c r="A193" s="298" t="s">
        <v>372</v>
      </c>
    </row>
    <row r="194" spans="1:1" x14ac:dyDescent="0.2">
      <c r="A194" s="298" t="s">
        <v>373</v>
      </c>
    </row>
    <row r="195" spans="1:1" ht="16.5" customHeight="1" x14ac:dyDescent="0.2">
      <c r="A195" s="298" t="s">
        <v>374</v>
      </c>
    </row>
    <row r="196" spans="1:1" x14ac:dyDescent="0.2">
      <c r="A196" s="298" t="s">
        <v>375</v>
      </c>
    </row>
    <row r="197" spans="1:1" x14ac:dyDescent="0.2">
      <c r="A197" s="298" t="s">
        <v>376</v>
      </c>
    </row>
    <row r="198" spans="1:1" x14ac:dyDescent="0.2">
      <c r="A198" s="298" t="s">
        <v>377</v>
      </c>
    </row>
    <row r="199" spans="1:1" x14ac:dyDescent="0.2">
      <c r="A199" s="298" t="s">
        <v>923</v>
      </c>
    </row>
    <row r="201" spans="1:1" x14ac:dyDescent="0.2">
      <c r="A201" s="616" t="s">
        <v>502</v>
      </c>
    </row>
    <row r="202" spans="1:1" x14ac:dyDescent="0.2">
      <c r="A202" s="25" t="s">
        <v>315</v>
      </c>
    </row>
    <row r="203" spans="1:1" x14ac:dyDescent="0.2">
      <c r="A203" s="25" t="s">
        <v>316</v>
      </c>
    </row>
    <row r="204" spans="1:1" x14ac:dyDescent="0.2">
      <c r="A204" s="25" t="s">
        <v>317</v>
      </c>
    </row>
    <row r="205" spans="1:1" ht="17.25" customHeight="1" x14ac:dyDescent="0.2"/>
    <row r="206" spans="1:1" x14ac:dyDescent="0.2">
      <c r="A206" s="616" t="s">
        <v>503</v>
      </c>
    </row>
    <row r="207" spans="1:1" x14ac:dyDescent="0.2">
      <c r="A207" s="25" t="s">
        <v>314</v>
      </c>
    </row>
    <row r="208" spans="1:1" x14ac:dyDescent="0.2">
      <c r="A208" s="25" t="s">
        <v>924</v>
      </c>
    </row>
    <row r="210" spans="1:1" x14ac:dyDescent="0.2">
      <c r="A210" s="616" t="s">
        <v>504</v>
      </c>
    </row>
    <row r="211" spans="1:1" ht="21.75" customHeight="1" x14ac:dyDescent="0.2">
      <c r="A211" s="619" t="s">
        <v>284</v>
      </c>
    </row>
    <row r="212" spans="1:1" x14ac:dyDescent="0.2">
      <c r="A212" s="619" t="s">
        <v>285</v>
      </c>
    </row>
    <row r="213" spans="1:1" ht="16.5" customHeight="1" x14ac:dyDescent="0.2">
      <c r="A213" s="619" t="s">
        <v>286</v>
      </c>
    </row>
    <row r="214" spans="1:1" x14ac:dyDescent="0.2">
      <c r="A214" s="25" t="s">
        <v>308</v>
      </c>
    </row>
    <row r="216" spans="1:1" x14ac:dyDescent="0.2">
      <c r="A216" s="558" t="s">
        <v>505</v>
      </c>
    </row>
    <row r="217" spans="1:1" x14ac:dyDescent="0.2">
      <c r="A217" s="620" t="s">
        <v>270</v>
      </c>
    </row>
    <row r="218" spans="1:1" x14ac:dyDescent="0.2">
      <c r="A218" s="25" t="s">
        <v>271</v>
      </c>
    </row>
    <row r="219" spans="1:1" x14ac:dyDescent="0.2">
      <c r="A219" s="25" t="s">
        <v>272</v>
      </c>
    </row>
    <row r="220" spans="1:1" ht="31.5" x14ac:dyDescent="0.2">
      <c r="A220" s="460" t="s">
        <v>273</v>
      </c>
    </row>
    <row r="221" spans="1:1" x14ac:dyDescent="0.2">
      <c r="A221" s="25" t="s">
        <v>274</v>
      </c>
    </row>
    <row r="222" spans="1:1" ht="16.5" customHeight="1" x14ac:dyDescent="0.2">
      <c r="A222" s="25" t="s">
        <v>275</v>
      </c>
    </row>
    <row r="223" spans="1:1" x14ac:dyDescent="0.2">
      <c r="A223" s="25" t="s">
        <v>276</v>
      </c>
    </row>
    <row r="224" spans="1:1" x14ac:dyDescent="0.2">
      <c r="A224" s="25" t="s">
        <v>277</v>
      </c>
    </row>
    <row r="225" spans="1:1" x14ac:dyDescent="0.2">
      <c r="A225" s="25" t="s">
        <v>925</v>
      </c>
    </row>
    <row r="227" spans="1:1" x14ac:dyDescent="0.2">
      <c r="A227" s="558" t="s">
        <v>926</v>
      </c>
    </row>
    <row r="228" spans="1:1" x14ac:dyDescent="0.2">
      <c r="A228" s="25" t="s">
        <v>927</v>
      </c>
    </row>
    <row r="229" spans="1:1" x14ac:dyDescent="0.2">
      <c r="A229" s="25" t="s">
        <v>928</v>
      </c>
    </row>
    <row r="230" spans="1:1" x14ac:dyDescent="0.2">
      <c r="A230" s="25" t="s">
        <v>929</v>
      </c>
    </row>
    <row r="231" spans="1:1" x14ac:dyDescent="0.2">
      <c r="A231" s="25" t="s">
        <v>930</v>
      </c>
    </row>
    <row r="233" spans="1:1" x14ac:dyDescent="0.2">
      <c r="A233" s="558" t="s">
        <v>931</v>
      </c>
    </row>
    <row r="234" spans="1:1" x14ac:dyDescent="0.2">
      <c r="A234" s="25" t="s">
        <v>932</v>
      </c>
    </row>
    <row r="236" spans="1:1" x14ac:dyDescent="0.2">
      <c r="A236" s="558" t="s">
        <v>933</v>
      </c>
    </row>
    <row r="237" spans="1:1" x14ac:dyDescent="0.2">
      <c r="A237" s="25" t="s">
        <v>934</v>
      </c>
    </row>
    <row r="239" spans="1:1" ht="32.25" customHeight="1" x14ac:dyDescent="0.2">
      <c r="A239" s="558" t="s">
        <v>219</v>
      </c>
    </row>
    <row r="240" spans="1:1" ht="36" customHeight="1" x14ac:dyDescent="0.2">
      <c r="A240" s="25" t="s">
        <v>935</v>
      </c>
    </row>
    <row r="241" spans="1:1" ht="35.25" customHeight="1" x14ac:dyDescent="0.2">
      <c r="A241" s="25" t="s">
        <v>936</v>
      </c>
    </row>
    <row r="242" spans="1:1" ht="18" customHeight="1" x14ac:dyDescent="0.2">
      <c r="A242" s="25" t="s">
        <v>937</v>
      </c>
    </row>
    <row r="243" spans="1:1" ht="36" customHeight="1" x14ac:dyDescent="0.2"/>
    <row r="244" spans="1:1" x14ac:dyDescent="0.2">
      <c r="A244" s="558" t="s">
        <v>938</v>
      </c>
    </row>
    <row r="245" spans="1:1" ht="33.75" customHeight="1" x14ac:dyDescent="0.2">
      <c r="A245" s="25" t="s">
        <v>18</v>
      </c>
    </row>
    <row r="246" spans="1:1" ht="18.75" customHeight="1" x14ac:dyDescent="0.2">
      <c r="A246" s="25" t="s">
        <v>19</v>
      </c>
    </row>
    <row r="247" spans="1:1" ht="17.25" customHeight="1" x14ac:dyDescent="0.2">
      <c r="A247" s="25" t="s">
        <v>20</v>
      </c>
    </row>
    <row r="248" spans="1:1" ht="17.25" customHeight="1" x14ac:dyDescent="0.2">
      <c r="A248" s="25" t="s">
        <v>939</v>
      </c>
    </row>
    <row r="249" spans="1:1" x14ac:dyDescent="0.2">
      <c r="A249" s="25" t="s">
        <v>21</v>
      </c>
    </row>
    <row r="250" spans="1:1" x14ac:dyDescent="0.2">
      <c r="A250" s="25" t="s">
        <v>22</v>
      </c>
    </row>
    <row r="251" spans="1:1" ht="31.5" x14ac:dyDescent="0.2">
      <c r="A251" s="25" t="s">
        <v>25</v>
      </c>
    </row>
    <row r="252" spans="1:1" ht="31.5" x14ac:dyDescent="0.2">
      <c r="A252" s="25" t="s">
        <v>23</v>
      </c>
    </row>
    <row r="253" spans="1:1" ht="31.5" x14ac:dyDescent="0.2">
      <c r="A253" s="25" t="s">
        <v>940</v>
      </c>
    </row>
    <row r="254" spans="1:1" ht="14.25" customHeight="1" x14ac:dyDescent="0.2">
      <c r="A254" s="25" t="s">
        <v>24</v>
      </c>
    </row>
    <row r="255" spans="1:1" ht="31.5" x14ac:dyDescent="0.2">
      <c r="A255" s="25" t="s">
        <v>215</v>
      </c>
    </row>
    <row r="256" spans="1:1" x14ac:dyDescent="0.2">
      <c r="A256" s="25" t="s">
        <v>216</v>
      </c>
    </row>
    <row r="257" spans="1:1" ht="31.5" x14ac:dyDescent="0.2">
      <c r="A257" s="25" t="s">
        <v>941</v>
      </c>
    </row>
    <row r="258" spans="1:1" x14ac:dyDescent="0.2">
      <c r="A258" s="25" t="s">
        <v>942</v>
      </c>
    </row>
    <row r="259" spans="1:1" x14ac:dyDescent="0.2">
      <c r="A259" s="25" t="s">
        <v>27</v>
      </c>
    </row>
    <row r="260" spans="1:1" x14ac:dyDescent="0.2">
      <c r="A260" s="25" t="s">
        <v>28</v>
      </c>
    </row>
    <row r="261" spans="1:1" x14ac:dyDescent="0.2">
      <c r="A261" s="25" t="s">
        <v>943</v>
      </c>
    </row>
    <row r="262" spans="1:1" ht="31.5" x14ac:dyDescent="0.2">
      <c r="A262" s="25" t="s">
        <v>944</v>
      </c>
    </row>
    <row r="263" spans="1:1" ht="18" customHeight="1" x14ac:dyDescent="0.2">
      <c r="A263" s="25" t="s">
        <v>945</v>
      </c>
    </row>
    <row r="264" spans="1:1" ht="51" customHeight="1" x14ac:dyDescent="0.2"/>
    <row r="265" spans="1:1" x14ac:dyDescent="0.2">
      <c r="A265" s="558" t="s">
        <v>30</v>
      </c>
    </row>
    <row r="266" spans="1:1" x14ac:dyDescent="0.2">
      <c r="A266" s="25" t="s">
        <v>946</v>
      </c>
    </row>
    <row r="267" spans="1:1" x14ac:dyDescent="0.2">
      <c r="A267" s="25" t="s">
        <v>947</v>
      </c>
    </row>
    <row r="268" spans="1:1" x14ac:dyDescent="0.2">
      <c r="A268" s="25" t="s">
        <v>948</v>
      </c>
    </row>
    <row r="269" spans="1:1" x14ac:dyDescent="0.2">
      <c r="A269" s="25" t="s">
        <v>26</v>
      </c>
    </row>
    <row r="270" spans="1:1" x14ac:dyDescent="0.2">
      <c r="A270" s="558" t="s">
        <v>15</v>
      </c>
    </row>
    <row r="271" spans="1:1" ht="31.5" x14ac:dyDescent="0.2">
      <c r="A271" s="25" t="s">
        <v>949</v>
      </c>
    </row>
    <row r="272" spans="1:1" x14ac:dyDescent="0.2">
      <c r="A272" s="25" t="s">
        <v>950</v>
      </c>
    </row>
    <row r="275" spans="1:1" x14ac:dyDescent="0.2">
      <c r="A275" s="558" t="s">
        <v>196</v>
      </c>
    </row>
    <row r="276" spans="1:1" ht="47.25" x14ac:dyDescent="0.2">
      <c r="A276" s="25" t="s">
        <v>951</v>
      </c>
    </row>
    <row r="277" spans="1:1" x14ac:dyDescent="0.2">
      <c r="A277" s="25" t="s">
        <v>197</v>
      </c>
    </row>
    <row r="278" spans="1:1" x14ac:dyDescent="0.2">
      <c r="A278" s="25" t="s">
        <v>198</v>
      </c>
    </row>
    <row r="279" spans="1:1" x14ac:dyDescent="0.2">
      <c r="A279" s="25" t="s">
        <v>217</v>
      </c>
    </row>
    <row r="280" spans="1:1" x14ac:dyDescent="0.2">
      <c r="A280" s="25" t="s">
        <v>199</v>
      </c>
    </row>
    <row r="281" spans="1:1" x14ac:dyDescent="0.2">
      <c r="A281" s="25" t="s">
        <v>200</v>
      </c>
    </row>
    <row r="282" spans="1:1" x14ac:dyDescent="0.2">
      <c r="A282" s="25" t="s">
        <v>952</v>
      </c>
    </row>
    <row r="283" spans="1:1" x14ac:dyDescent="0.2">
      <c r="A283" s="25" t="s">
        <v>201</v>
      </c>
    </row>
    <row r="284" spans="1:1" x14ac:dyDescent="0.2">
      <c r="A284" s="25" t="s">
        <v>202</v>
      </c>
    </row>
    <row r="285" spans="1:1" ht="31.5" x14ac:dyDescent="0.2">
      <c r="A285" s="25" t="s">
        <v>203</v>
      </c>
    </row>
    <row r="286" spans="1:1" ht="31.5" x14ac:dyDescent="0.2">
      <c r="A286" s="25" t="s">
        <v>953</v>
      </c>
    </row>
    <row r="287" spans="1:1" x14ac:dyDescent="0.2">
      <c r="A287" s="25" t="s">
        <v>204</v>
      </c>
    </row>
    <row r="288" spans="1:1" x14ac:dyDescent="0.2">
      <c r="A288" s="25" t="s">
        <v>205</v>
      </c>
    </row>
    <row r="289" spans="1:1" x14ac:dyDescent="0.2">
      <c r="A289" s="25" t="s">
        <v>218</v>
      </c>
    </row>
    <row r="290" spans="1:1" x14ac:dyDescent="0.2">
      <c r="A290" s="25" t="s">
        <v>206</v>
      </c>
    </row>
    <row r="291" spans="1:1" x14ac:dyDescent="0.2">
      <c r="A291" s="25" t="s">
        <v>0</v>
      </c>
    </row>
    <row r="292" spans="1:1" ht="31.5" x14ac:dyDescent="0.2">
      <c r="A292" s="25" t="s">
        <v>1</v>
      </c>
    </row>
    <row r="293" spans="1:1" x14ac:dyDescent="0.2">
      <c r="A293" s="25" t="s">
        <v>209</v>
      </c>
    </row>
    <row r="294" spans="1:1" x14ac:dyDescent="0.2">
      <c r="A294" s="25" t="s">
        <v>210</v>
      </c>
    </row>
    <row r="295" spans="1:1" ht="31.5" x14ac:dyDescent="0.2">
      <c r="A295" s="25" t="s">
        <v>211</v>
      </c>
    </row>
    <row r="296" spans="1:1" x14ac:dyDescent="0.2">
      <c r="A296" s="25" t="s">
        <v>954</v>
      </c>
    </row>
    <row r="297" spans="1:1" x14ac:dyDescent="0.2">
      <c r="A297" s="25" t="s">
        <v>955</v>
      </c>
    </row>
    <row r="298" spans="1:1" x14ac:dyDescent="0.2">
      <c r="A298" s="25" t="s">
        <v>956</v>
      </c>
    </row>
    <row r="299" spans="1:1" x14ac:dyDescent="0.2">
      <c r="A299" s="25" t="s">
        <v>957</v>
      </c>
    </row>
    <row r="300" spans="1:1" ht="19.5" customHeight="1" x14ac:dyDescent="0.2">
      <c r="A300" s="25" t="s">
        <v>958</v>
      </c>
    </row>
    <row r="301" spans="1:1" ht="18" customHeight="1" x14ac:dyDescent="0.2">
      <c r="A301" s="25" t="s">
        <v>959</v>
      </c>
    </row>
    <row r="302" spans="1:1" x14ac:dyDescent="0.2">
      <c r="A302" s="25" t="s">
        <v>960</v>
      </c>
    </row>
    <row r="303" spans="1:1" x14ac:dyDescent="0.2">
      <c r="A303" s="25" t="s">
        <v>13</v>
      </c>
    </row>
    <row r="304" spans="1:1" x14ac:dyDescent="0.2">
      <c r="A304" s="25" t="s">
        <v>14</v>
      </c>
    </row>
    <row r="305" spans="1:1" ht="31.5" x14ac:dyDescent="0.2">
      <c r="A305" s="25" t="s">
        <v>961</v>
      </c>
    </row>
    <row r="306" spans="1:1" x14ac:dyDescent="0.2">
      <c r="A306" s="25" t="s">
        <v>962</v>
      </c>
    </row>
    <row r="308" spans="1:1" x14ac:dyDescent="0.2">
      <c r="A308" s="25" t="s">
        <v>963</v>
      </c>
    </row>
    <row r="309" spans="1:1" x14ac:dyDescent="0.2">
      <c r="A309" s="25" t="s">
        <v>964</v>
      </c>
    </row>
  </sheetData>
  <sheetProtection sheet="1" objects="1" scenarios="1"/>
  <pageMargins left="0.32" right="0.31"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topLeftCell="A20" zoomScale="80" zoomScaleNormal="80" workbookViewId="0">
      <selection activeCell="B38" sqref="B38:E38"/>
    </sheetView>
  </sheetViews>
  <sheetFormatPr defaultRowHeight="15.75" x14ac:dyDescent="0.25"/>
  <cols>
    <col min="1" max="1" width="17.21875" customWidth="1"/>
    <col min="2" max="2" width="16.109375" customWidth="1"/>
    <col min="8" max="8" width="12.6640625" style="1" customWidth="1"/>
    <col min="9" max="9" width="12.44140625" style="1" customWidth="1"/>
    <col min="10" max="11" width="8.88671875" style="1"/>
  </cols>
  <sheetData>
    <row r="1" spans="1:14" ht="15" x14ac:dyDescent="0.2">
      <c r="A1" s="652" t="s">
        <v>675</v>
      </c>
      <c r="B1" s="652"/>
      <c r="C1" s="652"/>
      <c r="D1" s="652"/>
      <c r="E1" s="652"/>
      <c r="F1" s="652"/>
      <c r="H1" s="653" t="s">
        <v>676</v>
      </c>
      <c r="I1" s="653"/>
      <c r="J1" s="653"/>
      <c r="K1" s="653"/>
    </row>
    <row r="2" spans="1:14" ht="20.25" customHeight="1" x14ac:dyDescent="0.2">
      <c r="A2" s="652"/>
      <c r="B2" s="652"/>
      <c r="C2" s="652"/>
      <c r="D2" s="652"/>
      <c r="E2" s="652"/>
      <c r="F2" s="652"/>
      <c r="H2" s="653"/>
      <c r="I2" s="653"/>
      <c r="J2" s="653"/>
      <c r="K2" s="653"/>
    </row>
    <row r="3" spans="1:14" ht="18" customHeight="1" x14ac:dyDescent="0.2">
      <c r="A3" s="654" t="s">
        <v>677</v>
      </c>
      <c r="B3" s="654"/>
      <c r="C3" s="654"/>
      <c r="D3" s="654"/>
      <c r="E3" s="654"/>
      <c r="F3" s="654"/>
      <c r="H3" s="247" t="s">
        <v>344</v>
      </c>
      <c r="I3" s="655" t="s">
        <v>345</v>
      </c>
      <c r="J3" s="656"/>
      <c r="K3" s="657"/>
    </row>
    <row r="4" spans="1:14" ht="18" customHeight="1" x14ac:dyDescent="0.25">
      <c r="A4" s="654"/>
      <c r="B4" s="654"/>
      <c r="C4" s="654"/>
      <c r="D4" s="654"/>
      <c r="E4" s="654"/>
      <c r="F4" s="654"/>
      <c r="H4" s="247"/>
      <c r="I4" s="247"/>
    </row>
    <row r="5" spans="1:14" ht="18" customHeight="1" x14ac:dyDescent="0.2">
      <c r="A5" s="654"/>
      <c r="B5" s="654"/>
      <c r="C5" s="654"/>
      <c r="D5" s="654"/>
      <c r="E5" s="654"/>
      <c r="F5" s="654"/>
      <c r="H5" s="247" t="s">
        <v>278</v>
      </c>
      <c r="I5" s="655" t="s">
        <v>678</v>
      </c>
      <c r="J5" s="656"/>
      <c r="K5" s="657"/>
    </row>
    <row r="6" spans="1:14" ht="18" customHeight="1" x14ac:dyDescent="0.25">
      <c r="A6" s="654"/>
      <c r="B6" s="654"/>
      <c r="C6" s="654"/>
      <c r="D6" s="654"/>
      <c r="E6" s="654"/>
      <c r="F6" s="654"/>
      <c r="H6" s="247"/>
      <c r="I6" s="247"/>
    </row>
    <row r="7" spans="1:14" ht="18" customHeight="1" x14ac:dyDescent="0.2">
      <c r="A7" s="654"/>
      <c r="B7" s="654"/>
      <c r="C7" s="654"/>
      <c r="D7" s="654"/>
      <c r="E7" s="654"/>
      <c r="F7" s="654"/>
      <c r="H7" s="247" t="s">
        <v>279</v>
      </c>
      <c r="I7" s="655" t="s">
        <v>282</v>
      </c>
      <c r="J7" s="656"/>
      <c r="K7" s="657"/>
    </row>
    <row r="8" spans="1:14" ht="18" customHeight="1" x14ac:dyDescent="0.25">
      <c r="A8" s="654"/>
      <c r="B8" s="654"/>
      <c r="C8" s="654"/>
      <c r="D8" s="654"/>
      <c r="E8" s="654"/>
      <c r="F8" s="654"/>
      <c r="H8" s="247"/>
      <c r="I8" s="247"/>
    </row>
    <row r="9" spans="1:14" ht="18" customHeight="1" x14ac:dyDescent="0.2">
      <c r="A9" s="654"/>
      <c r="B9" s="654"/>
      <c r="C9" s="654"/>
      <c r="D9" s="654"/>
      <c r="E9" s="654"/>
      <c r="F9" s="654"/>
      <c r="H9" s="247" t="s">
        <v>280</v>
      </c>
      <c r="I9" s="655" t="s">
        <v>283</v>
      </c>
      <c r="J9" s="656"/>
      <c r="K9" s="657"/>
    </row>
    <row r="10" spans="1:14" ht="18" customHeight="1" x14ac:dyDescent="0.25">
      <c r="A10" s="654"/>
      <c r="B10" s="654"/>
      <c r="C10" s="654"/>
      <c r="D10" s="654"/>
      <c r="E10" s="654"/>
      <c r="F10" s="654"/>
      <c r="H10" s="247"/>
      <c r="I10" s="247"/>
    </row>
    <row r="11" spans="1:14" ht="18" customHeight="1" x14ac:dyDescent="0.2">
      <c r="A11" s="654"/>
      <c r="B11" s="654"/>
      <c r="C11" s="654"/>
      <c r="D11" s="654"/>
      <c r="E11" s="654"/>
      <c r="F11" s="654"/>
      <c r="H11" s="247" t="s">
        <v>281</v>
      </c>
      <c r="I11" s="655" t="s">
        <v>283</v>
      </c>
      <c r="J11" s="656"/>
      <c r="K11" s="657"/>
    </row>
    <row r="12" spans="1:14" ht="18" customHeight="1" x14ac:dyDescent="0.25">
      <c r="A12" s="654"/>
      <c r="B12" s="654"/>
      <c r="C12" s="654"/>
      <c r="D12" s="654"/>
      <c r="E12" s="654"/>
      <c r="F12" s="654"/>
    </row>
    <row r="13" spans="1:14" ht="21" customHeight="1" x14ac:dyDescent="0.3">
      <c r="A13" s="653" t="s">
        <v>679</v>
      </c>
      <c r="B13" s="653"/>
      <c r="C13" s="653"/>
      <c r="D13" s="653"/>
      <c r="E13" s="653"/>
      <c r="F13" s="653"/>
      <c r="G13" s="653"/>
      <c r="H13" s="653"/>
      <c r="I13" s="653"/>
      <c r="J13" s="653"/>
      <c r="K13" s="653"/>
      <c r="M13" s="560"/>
      <c r="N13" s="560"/>
    </row>
    <row r="14" spans="1:14" x14ac:dyDescent="0.25">
      <c r="A14" s="561" t="s">
        <v>421</v>
      </c>
      <c r="B14" s="655"/>
      <c r="C14" s="656"/>
      <c r="D14" s="656"/>
      <c r="E14" s="657"/>
      <c r="H14" s="658" t="s">
        <v>680</v>
      </c>
      <c r="I14" s="658"/>
      <c r="J14" s="658"/>
      <c r="K14" s="658"/>
    </row>
    <row r="15" spans="1:14" x14ac:dyDescent="0.25">
      <c r="A15" s="561"/>
      <c r="B15" s="562"/>
      <c r="C15" s="563"/>
      <c r="D15" s="563"/>
      <c r="E15" s="563"/>
      <c r="H15" s="658"/>
      <c r="I15" s="658"/>
      <c r="J15" s="658"/>
      <c r="K15" s="658"/>
    </row>
    <row r="16" spans="1:14" x14ac:dyDescent="0.25">
      <c r="A16" s="561" t="s">
        <v>344</v>
      </c>
      <c r="B16" s="655"/>
      <c r="C16" s="656"/>
      <c r="D16" s="656"/>
      <c r="E16" s="657"/>
      <c r="H16" s="658"/>
      <c r="I16" s="658"/>
      <c r="J16" s="658"/>
      <c r="K16" s="658"/>
    </row>
    <row r="17" spans="1:13" x14ac:dyDescent="0.25">
      <c r="A17" s="564"/>
      <c r="B17" s="565"/>
      <c r="C17" s="565"/>
      <c r="D17" s="563"/>
      <c r="E17" s="565"/>
      <c r="F17" s="246"/>
      <c r="H17" s="658"/>
      <c r="I17" s="658"/>
      <c r="J17" s="658"/>
      <c r="K17" s="658"/>
    </row>
    <row r="18" spans="1:13" x14ac:dyDescent="0.25">
      <c r="A18" s="566" t="s">
        <v>278</v>
      </c>
      <c r="B18" s="655"/>
      <c r="C18" s="656"/>
      <c r="D18" s="656"/>
      <c r="E18" s="657"/>
      <c r="F18" s="246"/>
      <c r="H18" s="658"/>
      <c r="I18" s="658"/>
      <c r="J18" s="658"/>
      <c r="K18" s="658"/>
    </row>
    <row r="19" spans="1:13" x14ac:dyDescent="0.25">
      <c r="A19" s="567" t="s">
        <v>681</v>
      </c>
      <c r="B19" s="563"/>
      <c r="C19" s="563"/>
      <c r="D19" s="247"/>
      <c r="E19" s="565"/>
      <c r="F19" s="246"/>
      <c r="H19" s="658"/>
      <c r="I19" s="658"/>
      <c r="J19" s="658"/>
      <c r="K19" s="658"/>
    </row>
    <row r="20" spans="1:13" x14ac:dyDescent="0.25">
      <c r="A20" s="566" t="s">
        <v>279</v>
      </c>
      <c r="B20" s="655"/>
      <c r="C20" s="656"/>
      <c r="D20" s="656"/>
      <c r="E20" s="657"/>
      <c r="F20" s="246"/>
      <c r="H20" s="658"/>
      <c r="I20" s="658"/>
      <c r="J20" s="658"/>
      <c r="K20" s="658"/>
    </row>
    <row r="21" spans="1:13" x14ac:dyDescent="0.25">
      <c r="A21" s="566"/>
      <c r="B21" s="247"/>
      <c r="C21" s="247"/>
      <c r="D21" s="247"/>
      <c r="E21" s="565"/>
      <c r="F21" s="246"/>
      <c r="H21" s="658"/>
      <c r="I21" s="658"/>
      <c r="J21" s="658"/>
      <c r="K21" s="658"/>
    </row>
    <row r="22" spans="1:13" x14ac:dyDescent="0.25">
      <c r="A22" s="566" t="s">
        <v>280</v>
      </c>
      <c r="B22" s="659"/>
      <c r="C22" s="660"/>
      <c r="D22" s="660"/>
      <c r="E22" s="661"/>
      <c r="F22" s="246"/>
      <c r="H22" s="658"/>
      <c r="I22" s="658"/>
      <c r="J22" s="658"/>
      <c r="K22" s="658"/>
    </row>
    <row r="23" spans="1:13" x14ac:dyDescent="0.25">
      <c r="A23" s="566"/>
      <c r="B23" s="247"/>
      <c r="C23" s="247"/>
      <c r="D23" s="247"/>
      <c r="E23" s="565"/>
      <c r="F23" s="246"/>
      <c r="H23" s="658"/>
      <c r="I23" s="658"/>
      <c r="J23" s="658"/>
      <c r="K23" s="658"/>
    </row>
    <row r="24" spans="1:13" x14ac:dyDescent="0.25">
      <c r="A24" s="566" t="s">
        <v>682</v>
      </c>
      <c r="B24" s="659"/>
      <c r="C24" s="660"/>
      <c r="D24" s="660"/>
      <c r="E24" s="661"/>
      <c r="F24" s="246"/>
      <c r="H24" s="658"/>
      <c r="I24" s="658"/>
      <c r="J24" s="658"/>
      <c r="K24" s="658"/>
    </row>
    <row r="27" spans="1:13" ht="21" customHeight="1" x14ac:dyDescent="0.2">
      <c r="A27" s="653" t="s">
        <v>683</v>
      </c>
      <c r="B27" s="653"/>
      <c r="C27" s="653"/>
      <c r="D27" s="653"/>
      <c r="E27" s="653"/>
      <c r="F27" s="653"/>
      <c r="G27" s="653"/>
      <c r="H27" s="653"/>
      <c r="I27" s="653"/>
      <c r="J27" s="653"/>
      <c r="K27" s="653"/>
    </row>
    <row r="28" spans="1:13" ht="15.75" customHeight="1" x14ac:dyDescent="0.25">
      <c r="A28" s="561" t="s">
        <v>421</v>
      </c>
      <c r="B28" s="655" t="s">
        <v>1047</v>
      </c>
      <c r="C28" s="656"/>
      <c r="D28" s="656"/>
      <c r="E28" s="657"/>
      <c r="H28" s="658" t="s">
        <v>684</v>
      </c>
      <c r="I28" s="658"/>
      <c r="J28" s="658"/>
      <c r="K28" s="658"/>
      <c r="M28" t="s">
        <v>685</v>
      </c>
    </row>
    <row r="29" spans="1:13" x14ac:dyDescent="0.25">
      <c r="A29" s="561"/>
      <c r="B29" s="562"/>
      <c r="H29" s="658"/>
      <c r="I29" s="658"/>
      <c r="J29" s="658"/>
      <c r="K29" s="658"/>
    </row>
    <row r="30" spans="1:13" x14ac:dyDescent="0.25">
      <c r="A30" s="561" t="s">
        <v>344</v>
      </c>
      <c r="B30" s="655" t="s">
        <v>1048</v>
      </c>
      <c r="C30" s="656"/>
      <c r="D30" s="656"/>
      <c r="E30" s="657"/>
      <c r="H30" s="658"/>
      <c r="I30" s="658"/>
      <c r="J30" s="658"/>
      <c r="K30" s="658"/>
    </row>
    <row r="31" spans="1:13" x14ac:dyDescent="0.25">
      <c r="A31" s="564"/>
      <c r="B31" s="246"/>
      <c r="C31" s="246"/>
      <c r="E31" s="246"/>
      <c r="F31" s="246"/>
      <c r="H31" s="658"/>
      <c r="I31" s="658"/>
      <c r="J31" s="658"/>
      <c r="K31" s="658"/>
    </row>
    <row r="32" spans="1:13" x14ac:dyDescent="0.25">
      <c r="A32" s="566" t="s">
        <v>278</v>
      </c>
      <c r="B32" s="655" t="s">
        <v>1049</v>
      </c>
      <c r="C32" s="656"/>
      <c r="D32" s="656"/>
      <c r="E32" s="657"/>
      <c r="F32" s="246"/>
      <c r="H32" s="658"/>
      <c r="I32" s="658"/>
      <c r="J32" s="658"/>
      <c r="K32" s="658"/>
    </row>
    <row r="33" spans="1:11" x14ac:dyDescent="0.25">
      <c r="A33" s="567" t="s">
        <v>681</v>
      </c>
      <c r="D33" s="247"/>
      <c r="E33" s="246"/>
      <c r="F33" s="246"/>
      <c r="H33" s="658"/>
      <c r="I33" s="658"/>
      <c r="J33" s="658"/>
      <c r="K33" s="658"/>
    </row>
    <row r="34" spans="1:11" x14ac:dyDescent="0.25">
      <c r="A34" s="566" t="s">
        <v>279</v>
      </c>
      <c r="B34" s="655" t="s">
        <v>1050</v>
      </c>
      <c r="C34" s="656"/>
      <c r="D34" s="656"/>
      <c r="E34" s="657"/>
      <c r="F34" s="246"/>
      <c r="H34" s="658"/>
      <c r="I34" s="658"/>
      <c r="J34" s="658"/>
      <c r="K34" s="658"/>
    </row>
    <row r="35" spans="1:11" x14ac:dyDescent="0.25">
      <c r="A35" s="566"/>
      <c r="B35" s="247"/>
      <c r="C35" s="247"/>
      <c r="D35" s="247"/>
      <c r="E35" s="246"/>
      <c r="F35" s="246"/>
      <c r="H35" s="658"/>
      <c r="I35" s="658"/>
      <c r="J35" s="658"/>
      <c r="K35" s="658"/>
    </row>
    <row r="36" spans="1:11" x14ac:dyDescent="0.25">
      <c r="A36" s="566" t="s">
        <v>280</v>
      </c>
      <c r="B36" s="659" t="s">
        <v>283</v>
      </c>
      <c r="C36" s="660"/>
      <c r="D36" s="660"/>
      <c r="E36" s="661"/>
      <c r="F36" s="246"/>
      <c r="H36" s="658"/>
      <c r="I36" s="658"/>
      <c r="J36" s="658"/>
      <c r="K36" s="658"/>
    </row>
    <row r="37" spans="1:11" x14ac:dyDescent="0.25">
      <c r="A37" s="566"/>
      <c r="B37" s="247"/>
      <c r="C37" s="247"/>
      <c r="D37" s="247"/>
      <c r="E37" s="246"/>
      <c r="F37" s="246"/>
      <c r="H37" s="658"/>
      <c r="I37" s="658"/>
      <c r="J37" s="658"/>
      <c r="K37" s="658"/>
    </row>
    <row r="38" spans="1:11" x14ac:dyDescent="0.25">
      <c r="A38" s="566" t="s">
        <v>682</v>
      </c>
      <c r="B38" s="659" t="s">
        <v>283</v>
      </c>
      <c r="C38" s="660"/>
      <c r="D38" s="660"/>
      <c r="E38" s="661"/>
      <c r="F38" s="246"/>
      <c r="H38" s="658"/>
      <c r="I38" s="658"/>
      <c r="J38" s="658"/>
      <c r="K38" s="658"/>
    </row>
    <row r="39" spans="1:11" ht="15.75" customHeight="1" x14ac:dyDescent="0.2">
      <c r="H39" s="658"/>
      <c r="I39" s="658"/>
      <c r="J39" s="658"/>
      <c r="K39" s="658"/>
    </row>
    <row r="41" spans="1:11" ht="21" customHeight="1" x14ac:dyDescent="0.2">
      <c r="A41" s="653" t="s">
        <v>686</v>
      </c>
      <c r="B41" s="653"/>
      <c r="C41" s="653"/>
      <c r="D41" s="653"/>
      <c r="E41" s="653"/>
      <c r="F41" s="653"/>
      <c r="G41" s="653"/>
      <c r="H41" s="653"/>
      <c r="I41" s="653"/>
      <c r="J41" s="653"/>
      <c r="K41" s="653"/>
    </row>
    <row r="42" spans="1:11" ht="15.75" customHeight="1" x14ac:dyDescent="0.25">
      <c r="A42" s="566" t="s">
        <v>278</v>
      </c>
      <c r="B42" s="655"/>
      <c r="C42" s="656"/>
      <c r="D42" s="656"/>
      <c r="E42" s="657"/>
      <c r="F42" s="246"/>
      <c r="H42" s="658" t="s">
        <v>687</v>
      </c>
      <c r="I42" s="658"/>
      <c r="J42" s="658"/>
      <c r="K42" s="658"/>
    </row>
    <row r="43" spans="1:11" x14ac:dyDescent="0.25">
      <c r="A43" s="567" t="s">
        <v>681</v>
      </c>
      <c r="B43" s="563"/>
      <c r="C43" s="563"/>
      <c r="D43" s="247"/>
      <c r="E43" s="565"/>
      <c r="F43" s="246"/>
      <c r="H43" s="658"/>
      <c r="I43" s="658"/>
      <c r="J43" s="658"/>
      <c r="K43" s="658"/>
    </row>
    <row r="44" spans="1:11" x14ac:dyDescent="0.25">
      <c r="A44" s="566" t="s">
        <v>279</v>
      </c>
      <c r="B44" s="655"/>
      <c r="C44" s="656"/>
      <c r="D44" s="656"/>
      <c r="E44" s="657"/>
      <c r="F44" s="246"/>
      <c r="H44" s="658"/>
      <c r="I44" s="658"/>
      <c r="J44" s="658"/>
      <c r="K44" s="658"/>
    </row>
    <row r="45" spans="1:11" x14ac:dyDescent="0.25">
      <c r="A45" s="566"/>
      <c r="B45" s="247"/>
      <c r="C45" s="247"/>
      <c r="D45" s="247"/>
      <c r="E45" s="565"/>
      <c r="F45" s="246"/>
      <c r="H45" s="658"/>
      <c r="I45" s="658"/>
      <c r="J45" s="658"/>
      <c r="K45" s="658"/>
    </row>
    <row r="46" spans="1:11" x14ac:dyDescent="0.25">
      <c r="A46" s="566" t="s">
        <v>280</v>
      </c>
      <c r="B46" s="659"/>
      <c r="C46" s="660"/>
      <c r="D46" s="660"/>
      <c r="E46" s="661"/>
      <c r="F46" s="246"/>
      <c r="H46" s="658"/>
      <c r="I46" s="658"/>
      <c r="J46" s="658"/>
      <c r="K46" s="658"/>
    </row>
    <row r="47" spans="1:11" ht="15.75" customHeight="1" x14ac:dyDescent="0.2">
      <c r="H47" s="658"/>
      <c r="I47" s="658"/>
      <c r="J47" s="658"/>
      <c r="K47" s="658"/>
    </row>
    <row r="48" spans="1:11" ht="15.75" customHeight="1" x14ac:dyDescent="0.2">
      <c r="H48" s="658"/>
      <c r="I48" s="658"/>
      <c r="J48" s="658"/>
      <c r="K48" s="658"/>
    </row>
    <row r="49" spans="8:11" ht="15.75" customHeight="1" x14ac:dyDescent="0.2">
      <c r="H49" s="658"/>
      <c r="I49" s="658"/>
      <c r="J49" s="658"/>
      <c r="K49" s="658"/>
    </row>
  </sheetData>
  <sheetProtection sheet="1" objects="1" scenarios="1"/>
  <mergeCells count="29">
    <mergeCell ref="A41:K41"/>
    <mergeCell ref="B42:E42"/>
    <mergeCell ref="H42:K49"/>
    <mergeCell ref="B44:E44"/>
    <mergeCell ref="B46:E46"/>
    <mergeCell ref="A27:K27"/>
    <mergeCell ref="B28:E28"/>
    <mergeCell ref="H28:K39"/>
    <mergeCell ref="B30:E30"/>
    <mergeCell ref="B32:E32"/>
    <mergeCell ref="B34:E34"/>
    <mergeCell ref="B36:E36"/>
    <mergeCell ref="B38:E38"/>
    <mergeCell ref="A13:K13"/>
    <mergeCell ref="B14:E14"/>
    <mergeCell ref="H14:K24"/>
    <mergeCell ref="B16:E16"/>
    <mergeCell ref="B18:E18"/>
    <mergeCell ref="B20:E20"/>
    <mergeCell ref="B22:E22"/>
    <mergeCell ref="B24:E24"/>
    <mergeCell ref="A1:F2"/>
    <mergeCell ref="H1:K2"/>
    <mergeCell ref="A3:F12"/>
    <mergeCell ref="I3:K3"/>
    <mergeCell ref="I5:K5"/>
    <mergeCell ref="I7:K7"/>
    <mergeCell ref="I9:K9"/>
    <mergeCell ref="I11:K11"/>
  </mergeCells>
  <pageMargins left="0.7" right="0.7" top="0.75" bottom="0.75" header="0.3" footer="0.3"/>
  <pageSetup scale="51"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40"/>
  <sheetViews>
    <sheetView workbookViewId="0">
      <selection activeCell="B1" sqref="B1"/>
    </sheetView>
  </sheetViews>
  <sheetFormatPr defaultRowHeight="15" x14ac:dyDescent="0.2"/>
  <cols>
    <col min="1" max="1" width="77.33203125" customWidth="1"/>
  </cols>
  <sheetData>
    <row r="1" spans="1:1" ht="15.75" customHeight="1" x14ac:dyDescent="0.2">
      <c r="A1" s="662" t="s">
        <v>539</v>
      </c>
    </row>
    <row r="2" spans="1:1" ht="15.75" customHeight="1" x14ac:dyDescent="0.2">
      <c r="A2" s="662"/>
    </row>
    <row r="3" spans="1:1" ht="15.75" customHeight="1" x14ac:dyDescent="0.2">
      <c r="A3" s="662"/>
    </row>
    <row r="4" spans="1:1" ht="15.75" customHeight="1" x14ac:dyDescent="0.2">
      <c r="A4" s="662"/>
    </row>
    <row r="5" spans="1:1" ht="15.75" customHeight="1" x14ac:dyDescent="0.2">
      <c r="A5" s="662"/>
    </row>
    <row r="6" spans="1:1" ht="15.75" customHeight="1" x14ac:dyDescent="0.2">
      <c r="A6" s="662"/>
    </row>
    <row r="7" spans="1:1" ht="15.75" customHeight="1" x14ac:dyDescent="0.2">
      <c r="A7" s="662"/>
    </row>
    <row r="8" spans="1:1" ht="15.75" customHeight="1" x14ac:dyDescent="0.2">
      <c r="A8" s="662"/>
    </row>
    <row r="9" spans="1:1" ht="15.75" customHeight="1" x14ac:dyDescent="0.2">
      <c r="A9" s="662"/>
    </row>
    <row r="10" spans="1:1" ht="15.75" customHeight="1" x14ac:dyDescent="0.2">
      <c r="A10" s="662"/>
    </row>
    <row r="11" spans="1:1" ht="15.75" customHeight="1" x14ac:dyDescent="0.2">
      <c r="A11" s="662"/>
    </row>
    <row r="12" spans="1:1" ht="15.75" customHeight="1" x14ac:dyDescent="0.2">
      <c r="A12" s="662"/>
    </row>
    <row r="13" spans="1:1" ht="15.75" customHeight="1" x14ac:dyDescent="0.2">
      <c r="A13" s="662"/>
    </row>
    <row r="14" spans="1:1" ht="15.75" customHeight="1" x14ac:dyDescent="0.2">
      <c r="A14" s="662"/>
    </row>
    <row r="15" spans="1:1" ht="15.75" customHeight="1" x14ac:dyDescent="0.2">
      <c r="A15" s="662"/>
    </row>
    <row r="16" spans="1:1" ht="15.75" customHeight="1" x14ac:dyDescent="0.2">
      <c r="A16" s="662"/>
    </row>
    <row r="17" spans="1:1" ht="15.75" customHeight="1" x14ac:dyDescent="0.2">
      <c r="A17" s="662"/>
    </row>
    <row r="18" spans="1:1" ht="15.75" customHeight="1" x14ac:dyDescent="0.2">
      <c r="A18" s="662"/>
    </row>
    <row r="19" spans="1:1" ht="15.75" customHeight="1" x14ac:dyDescent="0.2">
      <c r="A19" s="662"/>
    </row>
    <row r="20" spans="1:1" ht="15.75" customHeight="1" x14ac:dyDescent="0.2">
      <c r="A20" s="662"/>
    </row>
    <row r="21" spans="1:1" ht="15.75" customHeight="1" x14ac:dyDescent="0.2">
      <c r="A21" s="662"/>
    </row>
    <row r="22" spans="1:1" ht="15.75" customHeight="1" x14ac:dyDescent="0.2">
      <c r="A22" s="662"/>
    </row>
    <row r="23" spans="1:1" ht="15.75" customHeight="1" x14ac:dyDescent="0.2">
      <c r="A23" s="662"/>
    </row>
    <row r="24" spans="1:1" ht="15.75" customHeight="1" x14ac:dyDescent="0.2">
      <c r="A24" s="662"/>
    </row>
    <row r="25" spans="1:1" ht="15.75" customHeight="1" x14ac:dyDescent="0.2">
      <c r="A25" s="662"/>
    </row>
    <row r="26" spans="1:1" ht="15.75" customHeight="1" x14ac:dyDescent="0.2">
      <c r="A26" s="662"/>
    </row>
    <row r="27" spans="1:1" ht="15.75" customHeight="1" x14ac:dyDescent="0.2">
      <c r="A27" s="662"/>
    </row>
    <row r="28" spans="1:1" ht="15.75" customHeight="1" x14ac:dyDescent="0.2">
      <c r="A28" s="662"/>
    </row>
    <row r="29" spans="1:1" ht="15.75" customHeight="1" x14ac:dyDescent="0.2">
      <c r="A29" s="662"/>
    </row>
    <row r="30" spans="1:1" ht="15.75" customHeight="1" x14ac:dyDescent="0.2">
      <c r="A30" s="662"/>
    </row>
    <row r="31" spans="1:1" ht="15.75" customHeight="1" x14ac:dyDescent="0.2">
      <c r="A31" s="662"/>
    </row>
    <row r="32" spans="1:1" ht="15.75" customHeight="1" x14ac:dyDescent="0.2">
      <c r="A32" s="662"/>
    </row>
    <row r="33" spans="1:1" ht="15.75" customHeight="1" x14ac:dyDescent="0.2">
      <c r="A33" s="662"/>
    </row>
    <row r="34" spans="1:1" ht="15.75" customHeight="1" x14ac:dyDescent="0.2">
      <c r="A34" s="662"/>
    </row>
    <row r="35" spans="1:1" ht="15.75" customHeight="1" x14ac:dyDescent="0.2">
      <c r="A35" s="662"/>
    </row>
    <row r="36" spans="1:1" ht="15.75" customHeight="1" x14ac:dyDescent="0.2">
      <c r="A36" s="662"/>
    </row>
    <row r="37" spans="1:1" ht="15.75" customHeight="1" x14ac:dyDescent="0.2">
      <c r="A37" s="662"/>
    </row>
    <row r="38" spans="1:1" ht="15.75" customHeight="1" x14ac:dyDescent="0.2">
      <c r="A38" s="662"/>
    </row>
    <row r="39" spans="1:1" ht="15.75" customHeight="1" x14ac:dyDescent="0.2">
      <c r="A39" s="662"/>
    </row>
    <row r="40" spans="1:1" ht="15.75" customHeight="1" x14ac:dyDescent="0.2">
      <c r="A40" s="662"/>
    </row>
  </sheetData>
  <sheetProtection sheet="1" objects="1" scenarios="1"/>
  <mergeCells count="1">
    <mergeCell ref="A1:A40"/>
  </mergeCells>
  <pageMargins left="0.7" right="0.7" top="0.75" bottom="0.75" header="0.3" footer="0.3"/>
  <pageSetup scale="98"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104"/>
  <sheetViews>
    <sheetView topLeftCell="A10" workbookViewId="0">
      <selection activeCell="F19" sqref="F19"/>
    </sheetView>
  </sheetViews>
  <sheetFormatPr defaultColWidth="8.88671875" defaultRowHeight="15.75" x14ac:dyDescent="0.2"/>
  <cols>
    <col min="1" max="1" width="24.33203125" style="26" customWidth="1"/>
    <col min="2" max="2" width="10.77734375" style="26" customWidth="1"/>
    <col min="3" max="3" width="5.77734375" style="26" customWidth="1"/>
    <col min="4" max="4" width="14" style="26" customWidth="1"/>
    <col min="5" max="5" width="13.33203125" style="26" customWidth="1"/>
    <col min="6" max="6" width="12.33203125" style="26" customWidth="1"/>
    <col min="7" max="16384" width="8.88671875" style="64"/>
  </cols>
  <sheetData>
    <row r="1" spans="1:7" x14ac:dyDescent="0.2">
      <c r="A1" s="28"/>
      <c r="B1" s="28"/>
      <c r="C1" s="27" t="s">
        <v>118</v>
      </c>
      <c r="D1" s="28"/>
      <c r="E1" s="28"/>
      <c r="F1" s="80"/>
      <c r="G1" s="24">
        <f>inputPrYr!C6</f>
        <v>2024</v>
      </c>
    </row>
    <row r="2" spans="1:7" x14ac:dyDescent="0.2">
      <c r="A2" s="664" t="str">
        <f>CONCATENATE("To the Clerk of ",(inputPrYr!D4),", State of Kansas")</f>
        <v>To the Clerk of Franklin, State of Kansas</v>
      </c>
      <c r="B2" s="636"/>
      <c r="C2" s="636"/>
      <c r="D2" s="636"/>
      <c r="E2" s="636"/>
      <c r="F2" s="636"/>
    </row>
    <row r="3" spans="1:7" x14ac:dyDescent="0.2">
      <c r="A3" s="81" t="s">
        <v>318</v>
      </c>
      <c r="B3" s="33"/>
      <c r="C3" s="33"/>
      <c r="D3" s="33"/>
      <c r="E3" s="33"/>
      <c r="F3" s="33"/>
    </row>
    <row r="4" spans="1:7" x14ac:dyDescent="0.2">
      <c r="A4" s="635" t="str">
        <f>(inputPrYr!D3)</f>
        <v>Wellsville</v>
      </c>
      <c r="B4" s="663"/>
      <c r="C4" s="663"/>
      <c r="D4" s="663"/>
      <c r="E4" s="663"/>
      <c r="F4" s="663"/>
    </row>
    <row r="5" spans="1:7" x14ac:dyDescent="0.2">
      <c r="A5" s="81" t="s">
        <v>38</v>
      </c>
      <c r="B5" s="33"/>
      <c r="C5" s="33"/>
      <c r="D5" s="33"/>
      <c r="E5" s="33"/>
      <c r="F5" s="33"/>
    </row>
    <row r="6" spans="1:7" x14ac:dyDescent="0.2">
      <c r="A6" s="81" t="s">
        <v>39</v>
      </c>
      <c r="B6" s="33"/>
      <c r="C6" s="33"/>
      <c r="D6" s="33"/>
      <c r="E6" s="33"/>
      <c r="F6" s="33"/>
    </row>
    <row r="7" spans="1:7" x14ac:dyDescent="0.2">
      <c r="A7" s="81" t="str">
        <f>CONCATENATE("maximum expenditures for the various funds for the year ",G1,"; and")</f>
        <v>maximum expenditures for the various funds for the year 2024; and</v>
      </c>
      <c r="B7" s="33"/>
      <c r="C7" s="33"/>
      <c r="D7" s="33"/>
      <c r="E7" s="33"/>
      <c r="F7" s="33"/>
    </row>
    <row r="8" spans="1:7" x14ac:dyDescent="0.2">
      <c r="A8" s="81" t="str">
        <f>CONCATENATE("(3) the Amounts(s) of ",G1-1," Ad Valorem Tax are within statutory limitations.")</f>
        <v>(3) the Amounts(s) of 2023 Ad Valorem Tax are within statutory limitations.</v>
      </c>
      <c r="B8" s="33"/>
      <c r="C8" s="33"/>
      <c r="D8" s="33"/>
      <c r="E8" s="33"/>
      <c r="F8" s="33"/>
    </row>
    <row r="9" spans="1:7" x14ac:dyDescent="0.2">
      <c r="A9" s="28"/>
      <c r="B9" s="28"/>
      <c r="C9" s="28"/>
      <c r="D9" s="82" t="str">
        <f>CONCATENATE("",G1," Adopted Budget")</f>
        <v>2024 Adopted Budget</v>
      </c>
      <c r="E9" s="83"/>
      <c r="F9" s="84"/>
    </row>
    <row r="10" spans="1:7" ht="21" customHeight="1" x14ac:dyDescent="0.2">
      <c r="A10" s="28"/>
      <c r="B10" s="28"/>
      <c r="C10" s="85"/>
      <c r="D10" s="86" t="s">
        <v>40</v>
      </c>
      <c r="E10" s="87" t="str">
        <f>CONCATENATE("Amount of ",G1-1,"")</f>
        <v>Amount of 2023</v>
      </c>
      <c r="F10" s="673" t="s">
        <v>735</v>
      </c>
    </row>
    <row r="11" spans="1:7" x14ac:dyDescent="0.2">
      <c r="A11" s="29"/>
      <c r="B11" s="28"/>
      <c r="C11" s="87" t="s">
        <v>41</v>
      </c>
      <c r="D11" s="291" t="s">
        <v>5</v>
      </c>
      <c r="E11" s="89" t="s">
        <v>173</v>
      </c>
      <c r="F11" s="674"/>
    </row>
    <row r="12" spans="1:7" x14ac:dyDescent="0.2">
      <c r="A12" s="90" t="s">
        <v>42</v>
      </c>
      <c r="B12" s="43"/>
      <c r="C12" s="91" t="s">
        <v>43</v>
      </c>
      <c r="D12" s="292" t="s">
        <v>324</v>
      </c>
      <c r="E12" s="92" t="s">
        <v>174</v>
      </c>
      <c r="F12" s="675"/>
    </row>
    <row r="13" spans="1:7" x14ac:dyDescent="0.2">
      <c r="A13" s="93" t="s">
        <v>478</v>
      </c>
      <c r="B13" s="43"/>
      <c r="C13" s="91">
        <v>2</v>
      </c>
      <c r="D13" s="88"/>
      <c r="E13" s="88"/>
      <c r="F13" s="88"/>
    </row>
    <row r="14" spans="1:7" x14ac:dyDescent="0.2">
      <c r="A14" s="93" t="s">
        <v>141</v>
      </c>
      <c r="B14" s="43"/>
      <c r="C14" s="91">
        <v>3</v>
      </c>
      <c r="D14" s="88"/>
      <c r="E14" s="88"/>
      <c r="F14" s="88"/>
    </row>
    <row r="15" spans="1:7" x14ac:dyDescent="0.2">
      <c r="A15" s="93" t="s">
        <v>44</v>
      </c>
      <c r="B15" s="54"/>
      <c r="C15" s="94">
        <v>4</v>
      </c>
      <c r="D15" s="96"/>
      <c r="E15" s="96"/>
      <c r="F15" s="96"/>
    </row>
    <row r="16" spans="1:7" x14ac:dyDescent="0.2">
      <c r="A16" s="93" t="s">
        <v>45</v>
      </c>
      <c r="B16" s="54"/>
      <c r="C16" s="94">
        <v>5</v>
      </c>
      <c r="D16" s="96"/>
      <c r="E16" s="96"/>
      <c r="F16" s="96"/>
    </row>
    <row r="17" spans="1:9" x14ac:dyDescent="0.2">
      <c r="A17" s="192" t="str">
        <f>IF(inputPrYr!D20="","","Computation to Determine State Library Grant")</f>
        <v>Computation to Determine State Library Grant</v>
      </c>
      <c r="B17" s="54"/>
      <c r="C17" s="104">
        <f>IF(inputPrYr!D20="","",'Library Grant'!F40)</f>
        <v>7</v>
      </c>
      <c r="D17" s="96"/>
      <c r="E17" s="96"/>
      <c r="F17" s="96"/>
    </row>
    <row r="18" spans="1:9" x14ac:dyDescent="0.2">
      <c r="A18" s="97" t="s">
        <v>46</v>
      </c>
      <c r="B18" s="98" t="s">
        <v>47</v>
      </c>
      <c r="C18" s="99"/>
      <c r="D18" s="100"/>
      <c r="E18" s="100"/>
      <c r="F18" s="100"/>
    </row>
    <row r="19" spans="1:9" x14ac:dyDescent="0.2">
      <c r="A19" s="37" t="s">
        <v>33</v>
      </c>
      <c r="B19" s="101" t="str">
        <f>IF(inputPrYr!C18&gt;0,(inputPrYr!C18),"  ")</f>
        <v>12-101a</v>
      </c>
      <c r="C19" s="94">
        <f>General!C57</f>
        <v>7</v>
      </c>
      <c r="D19" s="446">
        <f>IF(General!$E$108&lt;&gt;0,General!$E$108,"  ")</f>
        <v>1537582</v>
      </c>
      <c r="E19" s="447">
        <f>IF(General!$E$115&lt;&gt;0,General!$E$115,0)</f>
        <v>936812</v>
      </c>
      <c r="F19" s="448" t="str">
        <f>IF($F$58=0,"",ROUND(E19/$F$58*1000,3))</f>
        <v/>
      </c>
    </row>
    <row r="20" spans="1:9" x14ac:dyDescent="0.2">
      <c r="A20" s="37" t="s">
        <v>16</v>
      </c>
      <c r="B20" s="101" t="str">
        <f>IF(inputPrYr!C19&gt;0,(inputPrYr!C19),"  ")</f>
        <v>10-113</v>
      </c>
      <c r="C20" s="94" t="str">
        <f>IF('DebtSvs-Library'!C86&gt;0,'DebtSvs-Library'!C86,"  ")</f>
        <v xml:space="preserve">  </v>
      </c>
      <c r="D20" s="446">
        <f>IF('DebtSvs-Library'!E33&lt;&gt;0,'DebtSvs-Library'!E33,"  ")</f>
        <v>49000</v>
      </c>
      <c r="E20" s="447">
        <f>IF('DebtSvs-Library'!E40&lt;&gt;0,'DebtSvs-Library'!E40,0)</f>
        <v>45070</v>
      </c>
      <c r="F20" s="448" t="str">
        <f>IF($F$58=0,"",ROUND(E20/$F$58*1000,3))</f>
        <v/>
      </c>
    </row>
    <row r="21" spans="1:9" x14ac:dyDescent="0.2">
      <c r="A21" s="52" t="str">
        <f>IF(inputPrYr!$B20&gt;"  ",(inputPrYr!$B20),"  ")</f>
        <v>Library</v>
      </c>
      <c r="B21" s="101" t="str">
        <f>IF(inputPrYr!C20&gt;0,(inputPrYr!C20),"  ")</f>
        <v>12-1220</v>
      </c>
      <c r="C21" s="94" t="str">
        <f>IF('DebtSvs-Library'!C86&gt;0,'DebtSvs-Library'!C86,"  ")</f>
        <v xml:space="preserve">  </v>
      </c>
      <c r="D21" s="446">
        <f>IF('DebtSvs-Library'!E73&lt;&gt;0,'DebtSvs-Library'!E73,"  ")</f>
        <v>106682</v>
      </c>
      <c r="E21" s="447">
        <f>IF('DebtSvs-Library'!E80&lt;&gt;0,'DebtSvs-Library'!E80,0)</f>
        <v>95503</v>
      </c>
      <c r="F21" s="448" t="str">
        <f>IF($F$58=0,"",ROUND(E21/$F$58*1000,3))</f>
        <v/>
      </c>
      <c r="H21" s="355"/>
      <c r="I21" s="355"/>
    </row>
    <row r="22" spans="1:9" x14ac:dyDescent="0.2">
      <c r="A22" s="52" t="str">
        <f>IF(inputPrYr!$B22&gt;"  ",(inputPrYr!$B22),"  ")</f>
        <v>Employee Benefits</v>
      </c>
      <c r="B22" s="101" t="str">
        <f>IF(inputPrYr!C22&gt;0,(inputPrYr!C22),"  ")</f>
        <v>12-16102</v>
      </c>
      <c r="C22" s="94" t="str">
        <f>IF('Employ Benys'!C85&gt;0,'Employ Benys'!C85,"  ")</f>
        <v xml:space="preserve">  </v>
      </c>
      <c r="D22" s="446">
        <f>IF('Employ Benys'!$E$32&gt;0,'Employ Benys'!$E$32,"  ")</f>
        <v>140000</v>
      </c>
      <c r="E22" s="447">
        <f>IF('Employ Benys'!E39&lt;&gt;0,'Employ Benys'!E39,0)</f>
        <v>107998</v>
      </c>
      <c r="F22" s="448" t="str">
        <f t="shared" ref="F22:F31" si="0">IF($F$58=0,"",ROUND(E22/$F$58*1000,3))</f>
        <v/>
      </c>
      <c r="H22" s="355"/>
      <c r="I22" s="355"/>
    </row>
    <row r="23" spans="1:9" x14ac:dyDescent="0.2">
      <c r="A23" s="52" t="str">
        <f>IF(inputPrYr!$B23&gt;"  ",(inputPrYr!$B23),"  ")</f>
        <v>Library Employee Benefits</v>
      </c>
      <c r="B23" s="101" t="str">
        <f>IF(inputPrYr!C23&gt;0,(inputPrYr!C23),"  ")</f>
        <v>12-16102</v>
      </c>
      <c r="C23" s="94" t="str">
        <f>IF('Employ Benys'!C85&gt;0,'Employ Benys'!C85,"  ")</f>
        <v xml:space="preserve">  </v>
      </c>
      <c r="D23" s="446">
        <f>IF('Employ Benys'!$E$72&gt;0,'Employ Benys'!$E$72,"  ")</f>
        <v>8600</v>
      </c>
      <c r="E23" s="447">
        <f>IF('Employ Benys'!E79&lt;&gt;0,'Employ Benys'!E79,0)</f>
        <v>7895</v>
      </c>
      <c r="F23" s="448" t="str">
        <f t="shared" si="0"/>
        <v/>
      </c>
      <c r="H23" s="355"/>
      <c r="I23" s="355"/>
    </row>
    <row r="24" spans="1:9" x14ac:dyDescent="0.2">
      <c r="A24" s="52" t="str">
        <f>IF(inputPrYr!$B24&gt;"  ",(inputPrYr!$B24),"  ")</f>
        <v>Special Tort Claim</v>
      </c>
      <c r="B24" s="101" t="str">
        <f>IF(inputPrYr!C24&gt;0,(inputPrYr!C24),"  ")</f>
        <v>75-6110</v>
      </c>
      <c r="C24" s="94" t="str">
        <f>IF(tort!C85&gt;0,tort!C85,"  ")</f>
        <v xml:space="preserve">  </v>
      </c>
      <c r="D24" s="446">
        <f>IF(tort!$E$33&gt;0,tort!$E$33,"  ")</f>
        <v>42000</v>
      </c>
      <c r="E24" s="447">
        <f>IF(tort!E40&lt;&gt;0,tort!E40,0)</f>
        <v>36032</v>
      </c>
      <c r="F24" s="448" t="str">
        <f t="shared" si="0"/>
        <v/>
      </c>
      <c r="H24" s="355"/>
      <c r="I24" s="355"/>
    </row>
    <row r="25" spans="1:9" x14ac:dyDescent="0.2">
      <c r="A25" s="52" t="str">
        <f>IF(inputPrYr!$B25&gt;"  ",(inputPrYr!$B25),"  ")</f>
        <v xml:space="preserve">  </v>
      </c>
      <c r="B25" s="101" t="str">
        <f>IF(inputPrYr!C25&gt;0,(inputPrYr!C25),"  ")</f>
        <v xml:space="preserve">  </v>
      </c>
      <c r="C25" s="94" t="str">
        <f>IF(tort!C85&gt;0,tort!C85,"  ")</f>
        <v xml:space="preserve">  </v>
      </c>
      <c r="D25" s="446" t="str">
        <f>IF(tort!$E$72&gt;0,tort!$E$72,"  ")</f>
        <v xml:space="preserve">  </v>
      </c>
      <c r="E25" s="447">
        <f>IF(tort!E79&lt;&gt;0,tort!E79,0)</f>
        <v>0</v>
      </c>
      <c r="F25" s="448" t="str">
        <f t="shared" si="0"/>
        <v/>
      </c>
      <c r="H25" s="355"/>
      <c r="I25" s="355"/>
    </row>
    <row r="26" spans="1:9" x14ac:dyDescent="0.2">
      <c r="A26" s="52" t="str">
        <f>IF(inputPrYr!$B26&gt;"  ",(inputPrYr!$B26),"  ")</f>
        <v xml:space="preserve">  </v>
      </c>
      <c r="B26" s="101" t="str">
        <f>IF(inputPrYr!C26&gt;0,(inputPrYr!C26),"  ")</f>
        <v xml:space="preserve">  </v>
      </c>
      <c r="C26" s="94" t="e">
        <f>IF(#REF!&gt;0,#REF!,"  ")</f>
        <v>#REF!</v>
      </c>
      <c r="D26" s="446" t="e">
        <f>IF(#REF!&gt;0,#REF!,"  ")</f>
        <v>#REF!</v>
      </c>
      <c r="E26" s="447" t="e">
        <f>IF(#REF!&lt;&gt;0,#REF!,0)</f>
        <v>#REF!</v>
      </c>
      <c r="F26" s="448" t="str">
        <f t="shared" si="0"/>
        <v/>
      </c>
      <c r="H26" s="355"/>
      <c r="I26" s="355"/>
    </row>
    <row r="27" spans="1:9" x14ac:dyDescent="0.2">
      <c r="A27" s="52" t="str">
        <f>IF(inputPrYr!$B27&gt;"  ",(inputPrYr!$B27),"  ")</f>
        <v xml:space="preserve">  </v>
      </c>
      <c r="B27" s="101" t="str">
        <f>IF(inputPrYr!C27&gt;0,(inputPrYr!C27),"  ")</f>
        <v xml:space="preserve">  </v>
      </c>
      <c r="C27" s="94" t="e">
        <f>IF(#REF!&gt;0,#REF!,"  ")</f>
        <v>#REF!</v>
      </c>
      <c r="D27" s="446" t="e">
        <f>IF(#REF!&gt;0,#REF!,"  ")</f>
        <v>#REF!</v>
      </c>
      <c r="E27" s="447" t="e">
        <f>IF(#REF!&lt;&gt;0,#REF!,0)</f>
        <v>#REF!</v>
      </c>
      <c r="F27" s="448" t="str">
        <f t="shared" si="0"/>
        <v/>
      </c>
      <c r="H27" s="355"/>
      <c r="I27" s="355"/>
    </row>
    <row r="28" spans="1:9" x14ac:dyDescent="0.2">
      <c r="A28" s="52" t="str">
        <f>IF(inputPrYr!$B28&gt;"  ",(inputPrYr!$B28),"  ")</f>
        <v xml:space="preserve">  </v>
      </c>
      <c r="B28" s="101" t="str">
        <f>IF(inputPrYr!C28&gt;0,(inputPrYr!C28),"  ")</f>
        <v xml:space="preserve">  </v>
      </c>
      <c r="C28" s="94" t="e">
        <f>IF(#REF!&gt;0,#REF!,"  ")</f>
        <v>#REF!</v>
      </c>
      <c r="D28" s="446" t="e">
        <f>IF(#REF!&gt;0,#REF!,"  ")</f>
        <v>#REF!</v>
      </c>
      <c r="E28" s="447" t="e">
        <f>IF(#REF!&lt;&gt;0,#REF!,0)</f>
        <v>#REF!</v>
      </c>
      <c r="F28" s="448" t="str">
        <f t="shared" si="0"/>
        <v/>
      </c>
      <c r="H28" s="355"/>
      <c r="I28" s="355"/>
    </row>
    <row r="29" spans="1:9" x14ac:dyDescent="0.2">
      <c r="A29" s="52" t="str">
        <f>IF(inputPrYr!$B29&gt;"  ",(inputPrYr!$B29),"  ")</f>
        <v xml:space="preserve">  </v>
      </c>
      <c r="B29" s="101" t="str">
        <f>IF(inputPrYr!C29&gt;0,(inputPrYr!C29),"  ")</f>
        <v xml:space="preserve">  </v>
      </c>
      <c r="C29" s="94" t="e">
        <f>IF(#REF!&gt;0,#REF!,"  ")</f>
        <v>#REF!</v>
      </c>
      <c r="D29" s="446" t="e">
        <f>IF(#REF!&gt;0,#REF!,"  ")</f>
        <v>#REF!</v>
      </c>
      <c r="E29" s="447" t="e">
        <f>IF(#REF!&lt;&gt;0,#REF!,0)</f>
        <v>#REF!</v>
      </c>
      <c r="F29" s="448" t="str">
        <f t="shared" si="0"/>
        <v/>
      </c>
      <c r="H29" s="355"/>
      <c r="I29" s="355"/>
    </row>
    <row r="30" spans="1:9" x14ac:dyDescent="0.2">
      <c r="A30" s="52" t="str">
        <f>IF(inputPrYr!$B30&gt;"  ",(inputPrYr!$B30),"  ")</f>
        <v xml:space="preserve">  </v>
      </c>
      <c r="B30" s="101" t="str">
        <f>IF(inputPrYr!C30&gt;0,(inputPrYr!C30),"  ")</f>
        <v xml:space="preserve">  </v>
      </c>
      <c r="C30" s="94" t="e">
        <f>IF(#REF!&gt;0,#REF!,"  ")</f>
        <v>#REF!</v>
      </c>
      <c r="D30" s="446" t="e">
        <f>IF(#REF!&gt;0,#REF!,"  ")</f>
        <v>#REF!</v>
      </c>
      <c r="E30" s="447" t="e">
        <f>IF(#REF!&lt;&gt;0,#REF!,0)</f>
        <v>#REF!</v>
      </c>
      <c r="F30" s="448" t="str">
        <f t="shared" si="0"/>
        <v/>
      </c>
      <c r="H30" s="355"/>
      <c r="I30" s="355"/>
    </row>
    <row r="31" spans="1:9" x14ac:dyDescent="0.2">
      <c r="A31" s="52" t="str">
        <f>IF(inputPrYr!B31&gt;"  ",(inputPrYr!B31),"  ")</f>
        <v xml:space="preserve">  </v>
      </c>
      <c r="B31" s="101" t="str">
        <f>IF(inputPrYr!C31&gt;0,(inputPrYr!C31),"  ")</f>
        <v xml:space="preserve">  </v>
      </c>
      <c r="C31" s="94" t="e">
        <f>IF(#REF!&gt;0,#REF!,"  ")</f>
        <v>#REF!</v>
      </c>
      <c r="D31" s="446" t="e">
        <f>IF(#REF!&gt;0,#REF!,"  ")</f>
        <v>#REF!</v>
      </c>
      <c r="E31" s="447" t="e">
        <f>IF(#REF!&lt;&gt;0,#REF!,0)</f>
        <v>#REF!</v>
      </c>
      <c r="F31" s="448" t="str">
        <f t="shared" si="0"/>
        <v/>
      </c>
      <c r="H31" s="353"/>
    </row>
    <row r="32" spans="1:9" x14ac:dyDescent="0.2">
      <c r="A32" s="102" t="str">
        <f>IF(inputPrYr!$B35&gt;"  ",(inputPrYr!$B35),"  ")</f>
        <v>Special Highway</v>
      </c>
      <c r="B32" s="103"/>
      <c r="C32" s="104" t="str">
        <f>IF('Spec Hwy'!C65&gt;0,'Spec Hwy'!C65,"  ")</f>
        <v xml:space="preserve">  </v>
      </c>
      <c r="D32" s="446" t="str">
        <f>IF('Spec Hwy'!$E$26&gt;0,'Spec Hwy'!$E$26,"  ")</f>
        <v xml:space="preserve">  </v>
      </c>
      <c r="E32" s="446"/>
      <c r="F32" s="449"/>
    </row>
    <row r="33" spans="1:6" x14ac:dyDescent="0.2">
      <c r="A33" s="102" t="str">
        <f>IF(inputPrYr!$B36&gt;"  ",(inputPrYr!$B36),"  ")</f>
        <v>Building Capital Improvement</v>
      </c>
      <c r="B33" s="103"/>
      <c r="C33" s="104" t="str">
        <f>IF('Spec Hwy'!C65&gt;0,'Spec Hwy'!C65,"  ")</f>
        <v xml:space="preserve">  </v>
      </c>
      <c r="D33" s="446" t="str">
        <f>IF('Spec Hwy'!$E$57&gt;0,'Spec Hwy'!$E$57,"  ")</f>
        <v xml:space="preserve">  </v>
      </c>
      <c r="E33" s="446"/>
      <c r="F33" s="449"/>
    </row>
    <row r="34" spans="1:6" x14ac:dyDescent="0.2">
      <c r="A34" s="102" t="str">
        <f>IF(inputPrYr!$B37&gt;"  ",(inputPrYr!$B37),"  ")</f>
        <v>Cemetary Perpetual Care</v>
      </c>
      <c r="B34" s="103"/>
      <c r="C34" s="104" t="str">
        <f>IF(cemetary!C65&gt;0,cemetary!C65,"  ")</f>
        <v xml:space="preserve">  </v>
      </c>
      <c r="D34" s="446" t="str">
        <f>IF(cemetary!$E$28&gt;0,cemetary!$E$28,"  ")</f>
        <v xml:space="preserve">  </v>
      </c>
      <c r="E34" s="446"/>
      <c r="F34" s="449"/>
    </row>
    <row r="35" spans="1:6" x14ac:dyDescent="0.2">
      <c r="A35" s="102" t="str">
        <f>IF(inputPrYr!$B38&gt;"  ",(inputPrYr!$B38),"  ")</f>
        <v xml:space="preserve">  </v>
      </c>
      <c r="B35" s="103"/>
      <c r="C35" s="104" t="str">
        <f>IF(cemetary!C65&gt;0, cemetary!C65, " ")</f>
        <v xml:space="preserve"> </v>
      </c>
      <c r="D35" s="446" t="str">
        <f>IF(cemetary!$E$57&gt;0,cemetary!$E$57,"  ")</f>
        <v xml:space="preserve">  </v>
      </c>
      <c r="E35" s="446"/>
      <c r="F35" s="449"/>
    </row>
    <row r="36" spans="1:6" x14ac:dyDescent="0.2">
      <c r="A36" s="102" t="str">
        <f>IF(inputPrYr!$B39&gt;"  ",(inputPrYr!$B39),"  ")</f>
        <v xml:space="preserve">  </v>
      </c>
      <c r="B36" s="103"/>
      <c r="C36" s="104" t="e">
        <f>IF(#REF!&gt;0,#REF!, " ")</f>
        <v>#REF!</v>
      </c>
      <c r="D36" s="446" t="e">
        <f>IF(#REF!&gt;0,#REF!,"  ")</f>
        <v>#REF!</v>
      </c>
      <c r="E36" s="446"/>
      <c r="F36" s="449"/>
    </row>
    <row r="37" spans="1:6" x14ac:dyDescent="0.2">
      <c r="A37" s="102" t="str">
        <f>IF(inputPrYr!$B40&gt;"  ",(inputPrYr!$B40),"  ")</f>
        <v xml:space="preserve">  </v>
      </c>
      <c r="B37" s="105"/>
      <c r="C37" s="104" t="e">
        <f>IF(#REF!&gt;0,#REF!, " ")</f>
        <v>#REF!</v>
      </c>
      <c r="D37" s="446" t="e">
        <f>IF(#REF!&gt;0,#REF!,"  ")</f>
        <v>#REF!</v>
      </c>
      <c r="E37" s="446"/>
      <c r="F37" s="449"/>
    </row>
    <row r="38" spans="1:6" x14ac:dyDescent="0.2">
      <c r="A38" s="102" t="str">
        <f>IF(inputPrYr!$B41&gt;"  ",(inputPrYr!$B41),"  ")</f>
        <v xml:space="preserve">  </v>
      </c>
      <c r="B38" s="106"/>
      <c r="C38" s="104" t="e">
        <f>IF(#REF!&gt;0,#REF!,"  ")</f>
        <v>#REF!</v>
      </c>
      <c r="D38" s="446" t="e">
        <f>IF(#REF!&gt;0,#REF!,"  ")</f>
        <v>#REF!</v>
      </c>
      <c r="E38" s="446"/>
      <c r="F38" s="449"/>
    </row>
    <row r="39" spans="1:6" x14ac:dyDescent="0.2">
      <c r="A39" s="102" t="str">
        <f>IF(inputPrYr!$B42&gt;"  ",(inputPrYr!$B42),"  ")</f>
        <v xml:space="preserve">  </v>
      </c>
      <c r="B39" s="106"/>
      <c r="C39" s="104" t="e">
        <f>IF(#REF!&gt;0,#REF!,"  ")</f>
        <v>#REF!</v>
      </c>
      <c r="D39" s="446" t="e">
        <f>IF(#REF!&gt;0,#REF!,"  ")</f>
        <v>#REF!</v>
      </c>
      <c r="E39" s="446"/>
      <c r="F39" s="449"/>
    </row>
    <row r="40" spans="1:6" x14ac:dyDescent="0.2">
      <c r="A40" s="102" t="str">
        <f>IF(inputPrYr!$B43&gt;"  ",(inputPrYr!$B43),"  ")</f>
        <v xml:space="preserve">  </v>
      </c>
      <c r="B40" s="103"/>
      <c r="C40" s="104" t="e">
        <f>IF(#REF!&gt;0,#REF!,"  ")</f>
        <v>#REF!</v>
      </c>
      <c r="D40" s="446" t="e">
        <f>IF(#REF!&gt;0,#REF!,"  ")</f>
        <v>#REF!</v>
      </c>
      <c r="E40" s="446"/>
      <c r="F40" s="449"/>
    </row>
    <row r="41" spans="1:6" x14ac:dyDescent="0.2">
      <c r="A41" s="102" t="str">
        <f>IF(inputPrYr!$B44&gt;"  ",(inputPrYr!$B44),"  ")</f>
        <v xml:space="preserve">  </v>
      </c>
      <c r="B41" s="103"/>
      <c r="C41" s="104" t="e">
        <f>IF(#REF!&gt;0,#REF!,"  ")</f>
        <v>#REF!</v>
      </c>
      <c r="D41" s="446" t="e">
        <f>IF(#REF!&gt;0,#REF!,"  ")</f>
        <v>#REF!</v>
      </c>
      <c r="E41" s="446"/>
      <c r="F41" s="449"/>
    </row>
    <row r="42" spans="1:6" x14ac:dyDescent="0.2">
      <c r="A42" s="102" t="str">
        <f>IF(inputPrYr!$B45&gt;"  ",(inputPrYr!$B45),"  ")</f>
        <v xml:space="preserve">  </v>
      </c>
      <c r="B42" s="103"/>
      <c r="C42" s="104" t="e">
        <f>IF(#REF!&gt;0,#REF!,"  ")</f>
        <v>#REF!</v>
      </c>
      <c r="D42" s="446" t="e">
        <f>IF(#REF!&gt;0,#REF!,"  ")</f>
        <v>#REF!</v>
      </c>
      <c r="E42" s="446"/>
      <c r="F42" s="449"/>
    </row>
    <row r="43" spans="1:6" x14ac:dyDescent="0.2">
      <c r="A43" s="102" t="str">
        <f>IF(inputPrYr!$B46&gt;"  ",(inputPrYr!$B46),"  ")</f>
        <v xml:space="preserve">  </v>
      </c>
      <c r="B43" s="103"/>
      <c r="C43" s="104" t="e">
        <f>IF(#REF!&gt;0,#REF!,"  ")</f>
        <v>#REF!</v>
      </c>
      <c r="D43" s="446" t="e">
        <f>IF(#REF!&gt;0,#REF!,"  ")</f>
        <v>#REF!</v>
      </c>
      <c r="E43" s="446"/>
      <c r="F43" s="449"/>
    </row>
    <row r="44" spans="1:6" x14ac:dyDescent="0.2">
      <c r="A44" s="102" t="str">
        <f>IF(inputPrYr!$B47&gt;"  ",(inputPrYr!$B47),"  ")</f>
        <v xml:space="preserve">  </v>
      </c>
      <c r="B44" s="103"/>
      <c r="C44" s="104" t="e">
        <f>IF(#REF!&gt;0,#REF!,"  ")</f>
        <v>#REF!</v>
      </c>
      <c r="D44" s="446" t="e">
        <f>IF(#REF!&gt;0,#REF!,"  ")</f>
        <v>#REF!</v>
      </c>
      <c r="E44" s="446"/>
      <c r="F44" s="449"/>
    </row>
    <row r="45" spans="1:6" x14ac:dyDescent="0.2">
      <c r="A45" s="102" t="str">
        <f>IF(inputPrYr!$B48&gt;"  ",(inputPrYr!$B48),"  ")</f>
        <v xml:space="preserve">  </v>
      </c>
      <c r="B45" s="103"/>
      <c r="C45" s="104" t="e">
        <f>IF(#REF!&gt;0,#REF!,"  ")</f>
        <v>#REF!</v>
      </c>
      <c r="D45" s="446" t="e">
        <f>IF(#REF!&gt;0,#REF!,"  ")</f>
        <v>#REF!</v>
      </c>
      <c r="E45" s="446"/>
      <c r="F45" s="449"/>
    </row>
    <row r="46" spans="1:6" x14ac:dyDescent="0.2">
      <c r="A46" s="102" t="str">
        <f>IF(inputPrYr!$B49&gt;"  ",(inputPrYr!$B49),"  ")</f>
        <v xml:space="preserve">  </v>
      </c>
      <c r="B46" s="105"/>
      <c r="C46" s="104" t="e">
        <f>IF(#REF!&gt;0,#REF!,"  ")</f>
        <v>#REF!</v>
      </c>
      <c r="D46" s="446" t="e">
        <f>IF(#REF!&gt;0,#REF!,"  ")</f>
        <v>#REF!</v>
      </c>
      <c r="E46" s="446"/>
      <c r="F46" s="449"/>
    </row>
    <row r="47" spans="1:6" x14ac:dyDescent="0.2">
      <c r="A47" s="102" t="str">
        <f>IF(inputPrYr!$B50&gt;"  ",(inputPrYr!$B50),"  ")</f>
        <v xml:space="preserve">  </v>
      </c>
      <c r="B47" s="106"/>
      <c r="C47" s="104" t="e">
        <f>IF(#REF!&gt;0,#REF!,"  ")</f>
        <v>#REF!</v>
      </c>
      <c r="D47" s="446" t="e">
        <f>IF(#REF!&gt;0,#REF!,"  ")</f>
        <v>#REF!</v>
      </c>
      <c r="E47" s="446"/>
      <c r="F47" s="449"/>
    </row>
    <row r="48" spans="1:6" x14ac:dyDescent="0.2">
      <c r="A48" s="102" t="str">
        <f>IF(inputPrYr!$B52&gt;"  ",(inputPrYr!$B52),"  ")</f>
        <v>Combined Sales Tax Improv</v>
      </c>
      <c r="B48" s="103"/>
      <c r="C48" s="104" t="str">
        <f>IF('Combined sales tax'!C52&gt;0,'Combined sales tax'!C52,"  ")</f>
        <v xml:space="preserve">  </v>
      </c>
      <c r="D48" s="446" t="str">
        <f>IF('Combined sales tax'!$E$44&gt;0,'Combined sales tax'!$E$44,"  ")</f>
        <v xml:space="preserve">  </v>
      </c>
      <c r="E48" s="446"/>
      <c r="F48" s="449"/>
    </row>
    <row r="49" spans="1:6" x14ac:dyDescent="0.2">
      <c r="A49" s="102" t="str">
        <f>IF(inputPrYr!$B53&gt;"  ",(inputPrYr!$B53),"  ")</f>
        <v>Community Enhanc Sales Tax</v>
      </c>
      <c r="B49" s="103"/>
      <c r="C49" s="104" t="str">
        <f>IF('Community sales tax'!C52&gt;0,'Community sales tax'!C52,"  ")</f>
        <v xml:space="preserve">  </v>
      </c>
      <c r="D49" s="446" t="str">
        <f>IF('Community sales tax'!$E$44&gt;0,'Community sales tax'!$E$44,"  ")</f>
        <v xml:space="preserve">  </v>
      </c>
      <c r="E49" s="446"/>
      <c r="F49" s="449"/>
    </row>
    <row r="50" spans="1:6" x14ac:dyDescent="0.2">
      <c r="A50" s="102" t="str">
        <f>IF(inputPrYr!$B54&gt;"  ",(inputPrYr!$B54),"  ")</f>
        <v>Water/Sewer/Refuse Utitly</v>
      </c>
      <c r="B50" s="105"/>
      <c r="C50" s="104" t="str">
        <f>IF('WaterSewer Utility'!C52&gt;0,'WaterSewer Utility'!C52,"  ")</f>
        <v xml:space="preserve">  </v>
      </c>
      <c r="D50" s="446" t="str">
        <f>IF('WaterSewer Utility'!$E$44&gt;0,'WaterSewer Utility'!$E$44,"  ")</f>
        <v xml:space="preserve">  </v>
      </c>
      <c r="E50" s="446"/>
      <c r="F50" s="449"/>
    </row>
    <row r="51" spans="1:6" x14ac:dyDescent="0.2">
      <c r="A51" s="102" t="str">
        <f>IF(inputPrYr!$B55&gt;"  ",(inputPrYr!$B55),"  ")</f>
        <v xml:space="preserve">  </v>
      </c>
      <c r="B51" s="106"/>
      <c r="C51" s="104" t="e">
        <f>IF(#REF!&gt;0,#REF!,"  ")</f>
        <v>#REF!</v>
      </c>
      <c r="D51" s="446" t="e">
        <f>IF(#REF!&gt;0,#REF!,"  ")</f>
        <v>#REF!</v>
      </c>
      <c r="E51" s="446"/>
      <c r="F51" s="449"/>
    </row>
    <row r="52" spans="1:6" x14ac:dyDescent="0.2">
      <c r="A52" s="102" t="str">
        <f>IF(inputPrYr!$B58&gt;"  ",('Reserve Funds A'!$A3),"  ")</f>
        <v>Non-Budgeted Funds-A</v>
      </c>
      <c r="B52" s="106"/>
      <c r="C52" s="104" t="str">
        <f>IF('Reserve Funds A'!F37&gt;0,'Reserve Funds A'!F37,"  ")</f>
        <v xml:space="preserve">  </v>
      </c>
      <c r="D52" s="446"/>
      <c r="E52" s="446"/>
      <c r="F52" s="449"/>
    </row>
    <row r="53" spans="1:6" x14ac:dyDescent="0.2">
      <c r="A53" s="102" t="str">
        <f>IF(inputPrYr!$B64&gt;"  ",('Reserve Funds B'!$A3),"  ")</f>
        <v>Non-Budgeted Funds-B</v>
      </c>
      <c r="B53" s="106"/>
      <c r="C53" s="104" t="str">
        <f>IF('Reserve Funds B'!F37&gt;0,'Reserve Funds B'!F37,"  ")</f>
        <v xml:space="preserve">  </v>
      </c>
      <c r="D53" s="446"/>
      <c r="E53" s="446"/>
      <c r="F53" s="449"/>
    </row>
    <row r="54" spans="1:6" x14ac:dyDescent="0.2">
      <c r="A54" s="102" t="str">
        <f>IF(inputPrYr!$B70&gt;"  ",(#REF!),"  ")</f>
        <v xml:space="preserve">  </v>
      </c>
      <c r="B54" s="103"/>
      <c r="C54" s="104" t="e">
        <f>IF(#REF!&gt;0,#REF!,"  ")</f>
        <v>#REF!</v>
      </c>
      <c r="D54" s="446"/>
      <c r="E54" s="446"/>
      <c r="F54" s="449"/>
    </row>
    <row r="55" spans="1:6" ht="16.5" thickBot="1" x14ac:dyDescent="0.25">
      <c r="A55" s="102" t="str">
        <f>IF(inputPrYr!$B76&gt;"  ",(#REF!),"  ")</f>
        <v xml:space="preserve">  </v>
      </c>
      <c r="B55" s="105"/>
      <c r="C55" s="104" t="e">
        <f>IF(#REF!&gt;0,#REF!,"  ")</f>
        <v>#REF!</v>
      </c>
      <c r="D55" s="593"/>
      <c r="E55" s="593"/>
      <c r="F55" s="594"/>
    </row>
    <row r="56" spans="1:6" x14ac:dyDescent="0.2">
      <c r="A56" s="275" t="s">
        <v>351</v>
      </c>
      <c r="B56" s="54"/>
      <c r="C56" s="170" t="s">
        <v>49</v>
      </c>
      <c r="D56" s="595" t="e">
        <f>SUM(D19:D55)</f>
        <v>#REF!</v>
      </c>
      <c r="E56" s="595" t="e">
        <f>SUM(E19:E55)</f>
        <v>#REF!</v>
      </c>
      <c r="F56" s="596" t="str">
        <f>IF(SUM(F19:F31)=0,"",SUM(F19:F31))</f>
        <v/>
      </c>
    </row>
    <row r="57" spans="1:6" x14ac:dyDescent="0.2">
      <c r="A57" s="671" t="s">
        <v>688</v>
      </c>
      <c r="B57" s="672"/>
      <c r="C57" s="94" t="str">
        <f>IF('Summary Budget Hearing Notice'!D72&gt;0, 'Summary Budget Hearing Notice'!D72, " ")</f>
        <v xml:space="preserve"> </v>
      </c>
      <c r="D57" s="568"/>
      <c r="E57" s="569"/>
      <c r="F57" s="290" t="s">
        <v>145</v>
      </c>
    </row>
    <row r="58" spans="1:6" x14ac:dyDescent="0.2">
      <c r="A58" s="671" t="s">
        <v>689</v>
      </c>
      <c r="B58" s="672"/>
      <c r="C58" s="94" t="str">
        <f>IF('Combined Rate-Bud Hearing Notic'!D72&gt;0, 'Combined Rate-Bud Hearing Notic'!D72, " ")</f>
        <v xml:space="preserve"> </v>
      </c>
      <c r="D58" s="570"/>
      <c r="E58" s="570"/>
      <c r="F58" s="669"/>
    </row>
    <row r="59" spans="1:6" x14ac:dyDescent="0.2">
      <c r="A59" s="671" t="s">
        <v>690</v>
      </c>
      <c r="B59" s="672"/>
      <c r="C59" s="94" t="str">
        <f>IF('RNR Hearing Notice'!E17&gt;0, 'RNR Hearing Notice'!E17, " ")</f>
        <v xml:space="preserve"> </v>
      </c>
      <c r="D59" s="28"/>
      <c r="E59" s="28"/>
      <c r="F59" s="670"/>
    </row>
    <row r="60" spans="1:6" x14ac:dyDescent="0.2">
      <c r="A60" s="671" t="s">
        <v>159</v>
      </c>
      <c r="B60" s="672"/>
      <c r="C60" s="94" t="str">
        <f>IF('NR Rebate'!C39&gt;0, 'NR Rebate'!C39, " ")</f>
        <v xml:space="preserve"> </v>
      </c>
      <c r="D60" s="28"/>
      <c r="E60" s="28"/>
      <c r="F60" s="667" t="str">
        <f>CONCATENATE("Nov 1, ",G1-1," Total Assessed Valuation")</f>
        <v>Nov 1, 2023 Total Assessed Valuation</v>
      </c>
    </row>
    <row r="61" spans="1:6" x14ac:dyDescent="0.2">
      <c r="A61" s="29"/>
      <c r="B61" s="28"/>
      <c r="C61" s="28"/>
      <c r="D61" s="28"/>
      <c r="E61" s="28"/>
      <c r="F61" s="668"/>
    </row>
    <row r="62" spans="1:6" x14ac:dyDescent="0.2">
      <c r="A62" s="29"/>
      <c r="B62" s="28"/>
      <c r="C62" s="28"/>
      <c r="D62" s="28"/>
      <c r="E62" s="28"/>
      <c r="F62" s="28"/>
    </row>
    <row r="63" spans="1:6" x14ac:dyDescent="0.2">
      <c r="A63" s="29"/>
      <c r="B63" s="28"/>
      <c r="C63" s="28"/>
      <c r="D63" s="676" t="s">
        <v>736</v>
      </c>
      <c r="E63" s="677"/>
      <c r="F63" s="587">
        <f>inputOth!D20</f>
        <v>50.973999999999997</v>
      </c>
    </row>
    <row r="64" spans="1:6" x14ac:dyDescent="0.2">
      <c r="A64" s="29"/>
      <c r="B64" s="28"/>
      <c r="C64" s="28"/>
      <c r="D64" s="28"/>
      <c r="E64" s="28"/>
      <c r="F64" s="28"/>
    </row>
    <row r="65" spans="1:6" x14ac:dyDescent="0.2">
      <c r="A65" s="42" t="s">
        <v>50</v>
      </c>
      <c r="B65" s="28"/>
      <c r="C65" s="28"/>
      <c r="D65" s="28"/>
      <c r="E65" s="28"/>
      <c r="F65" s="28"/>
    </row>
    <row r="66" spans="1:6" x14ac:dyDescent="0.2">
      <c r="A66" s="542"/>
      <c r="B66" s="28"/>
      <c r="C66" s="28"/>
      <c r="D66" s="195"/>
      <c r="E66" s="28"/>
      <c r="F66" s="28"/>
    </row>
    <row r="67" spans="1:6" x14ac:dyDescent="0.2">
      <c r="A67" s="543"/>
      <c r="B67" s="28"/>
      <c r="C67" s="47" t="s">
        <v>475</v>
      </c>
      <c r="D67" s="195"/>
      <c r="E67" s="28"/>
      <c r="F67" s="28"/>
    </row>
    <row r="68" spans="1:6" x14ac:dyDescent="0.2">
      <c r="A68" s="65" t="s">
        <v>148</v>
      </c>
      <c r="B68" s="28"/>
      <c r="C68" s="29"/>
      <c r="D68" s="195"/>
      <c r="E68" s="28"/>
      <c r="F68" s="28"/>
    </row>
    <row r="69" spans="1:6" x14ac:dyDescent="0.2">
      <c r="A69" s="542"/>
      <c r="B69" s="28"/>
      <c r="C69" s="28" t="s">
        <v>476</v>
      </c>
      <c r="D69" s="195"/>
      <c r="E69" s="195"/>
      <c r="F69" s="195"/>
    </row>
    <row r="70" spans="1:6" x14ac:dyDescent="0.2">
      <c r="A70" s="543"/>
      <c r="B70" s="107"/>
      <c r="C70" s="28"/>
      <c r="D70" s="28"/>
      <c r="E70" s="57"/>
      <c r="F70" s="57"/>
    </row>
    <row r="71" spans="1:6" x14ac:dyDescent="0.2">
      <c r="A71" s="383" t="s">
        <v>477</v>
      </c>
      <c r="B71" s="107"/>
      <c r="C71" s="28" t="s">
        <v>476</v>
      </c>
      <c r="D71" s="28"/>
      <c r="E71" s="439"/>
      <c r="F71" s="439"/>
    </row>
    <row r="72" spans="1:6" x14ac:dyDescent="0.2">
      <c r="A72" s="543"/>
      <c r="B72" s="80"/>
      <c r="C72" s="28"/>
      <c r="D72" s="28"/>
      <c r="E72" s="57"/>
      <c r="F72" s="57"/>
    </row>
    <row r="73" spans="1:6" x14ac:dyDescent="0.2">
      <c r="A73" s="30" t="s">
        <v>3</v>
      </c>
      <c r="B73" s="108">
        <f>G1-1</f>
        <v>2023</v>
      </c>
      <c r="C73" s="28" t="s">
        <v>476</v>
      </c>
      <c r="D73" s="28"/>
      <c r="E73" s="439"/>
      <c r="F73" s="439"/>
    </row>
    <row r="74" spans="1:6" x14ac:dyDescent="0.2">
      <c r="A74" s="195"/>
      <c r="B74" s="108"/>
      <c r="C74" s="28"/>
      <c r="D74" s="28"/>
      <c r="E74" s="81"/>
      <c r="F74" s="28"/>
    </row>
    <row r="75" spans="1:6" x14ac:dyDescent="0.2">
      <c r="A75" s="541"/>
      <c r="B75" s="28"/>
      <c r="C75" s="28" t="s">
        <v>476</v>
      </c>
      <c r="D75" s="28"/>
      <c r="E75" s="28"/>
      <c r="F75" s="28"/>
    </row>
    <row r="76" spans="1:6" x14ac:dyDescent="0.2">
      <c r="A76" s="438" t="s">
        <v>52</v>
      </c>
      <c r="B76" s="28"/>
      <c r="C76" s="665" t="s">
        <v>51</v>
      </c>
      <c r="D76" s="666"/>
      <c r="E76" s="666"/>
      <c r="F76" s="666"/>
    </row>
    <row r="77" spans="1:6" x14ac:dyDescent="0.2">
      <c r="A77" s="541"/>
      <c r="B77" s="28"/>
      <c r="C77" s="28"/>
      <c r="D77" s="28"/>
      <c r="E77" s="28"/>
      <c r="F77" s="28"/>
    </row>
    <row r="78" spans="1:6" x14ac:dyDescent="0.2">
      <c r="A78" s="536" t="s">
        <v>539</v>
      </c>
      <c r="B78" s="69"/>
      <c r="C78" s="69"/>
      <c r="D78" s="69"/>
      <c r="E78" s="69"/>
      <c r="F78" s="511"/>
    </row>
    <row r="79" spans="1:6" x14ac:dyDescent="0.2">
      <c r="A79" s="512"/>
      <c r="B79" s="28"/>
      <c r="C79" s="28"/>
      <c r="D79" s="28"/>
      <c r="E79" s="28"/>
      <c r="F79" s="403"/>
    </row>
    <row r="80" spans="1:6" x14ac:dyDescent="0.2">
      <c r="A80" s="513"/>
      <c r="B80" s="43"/>
      <c r="C80" s="43"/>
      <c r="D80" s="43"/>
      <c r="E80" s="43"/>
      <c r="F80" s="49"/>
    </row>
    <row r="86" s="64" customFormat="1" ht="15" x14ac:dyDescent="0.2"/>
    <row r="87" s="64" customFormat="1" ht="15" x14ac:dyDescent="0.2"/>
    <row r="88" s="64" customFormat="1" ht="15" x14ac:dyDescent="0.2"/>
    <row r="89" s="64" customFormat="1" ht="15" x14ac:dyDescent="0.2"/>
    <row r="90" s="64" customFormat="1" ht="15" x14ac:dyDescent="0.2"/>
    <row r="91" s="64" customFormat="1" ht="15" x14ac:dyDescent="0.2"/>
    <row r="92" s="64" customFormat="1" ht="15" x14ac:dyDescent="0.2"/>
    <row r="93" s="64" customFormat="1" ht="15" x14ac:dyDescent="0.2"/>
    <row r="94" s="64" customFormat="1" ht="15" x14ac:dyDescent="0.2"/>
    <row r="95" s="64" customFormat="1" ht="15" x14ac:dyDescent="0.2"/>
    <row r="96" s="64" customFormat="1" ht="15" x14ac:dyDescent="0.2"/>
    <row r="97" spans="1:6" ht="15" x14ac:dyDescent="0.2">
      <c r="A97" s="64"/>
      <c r="B97" s="64"/>
      <c r="C97" s="64"/>
      <c r="D97" s="64"/>
      <c r="E97" s="64"/>
      <c r="F97" s="64"/>
    </row>
    <row r="98" spans="1:6" ht="15" x14ac:dyDescent="0.2">
      <c r="A98" s="64"/>
      <c r="B98" s="64"/>
      <c r="C98" s="64"/>
      <c r="D98" s="64"/>
      <c r="E98" s="64"/>
      <c r="F98" s="64"/>
    </row>
    <row r="99" spans="1:6" ht="15" x14ac:dyDescent="0.2">
      <c r="A99" s="64"/>
      <c r="B99" s="64"/>
      <c r="C99" s="64"/>
      <c r="D99" s="64"/>
      <c r="E99" s="64"/>
      <c r="F99" s="64"/>
    </row>
    <row r="100" spans="1:6" ht="15" x14ac:dyDescent="0.2">
      <c r="A100" s="64"/>
      <c r="B100" s="64"/>
      <c r="C100" s="64"/>
      <c r="D100" s="64"/>
      <c r="E100" s="64"/>
      <c r="F100" s="64"/>
    </row>
    <row r="101" spans="1:6" ht="15" x14ac:dyDescent="0.2">
      <c r="A101" s="64"/>
      <c r="B101" s="64"/>
      <c r="C101" s="64"/>
      <c r="D101" s="64"/>
      <c r="E101" s="64"/>
      <c r="F101" s="64"/>
    </row>
    <row r="104" spans="1:6" x14ac:dyDescent="0.2">
      <c r="A104" s="24"/>
      <c r="B104" s="24"/>
      <c r="C104" s="24"/>
      <c r="D104" s="24"/>
      <c r="E104" s="24"/>
      <c r="F104" s="24"/>
    </row>
  </sheetData>
  <sheetProtection sheet="1" objects="1" scenarios="1"/>
  <mergeCells count="11">
    <mergeCell ref="A4:F4"/>
    <mergeCell ref="A2:F2"/>
    <mergeCell ref="C76:F76"/>
    <mergeCell ref="F60:F61"/>
    <mergeCell ref="F58:F59"/>
    <mergeCell ref="A58:B58"/>
    <mergeCell ref="A59:B59"/>
    <mergeCell ref="A57:B57"/>
    <mergeCell ref="A60:B60"/>
    <mergeCell ref="F10:F12"/>
    <mergeCell ref="D63:E63"/>
  </mergeCells>
  <phoneticPr fontId="0" type="noConversion"/>
  <pageMargins left="1" right="0.5" top="0.5" bottom="0.5" header="0.25" footer="0.25"/>
  <pageSetup scale="62" orientation="portrait" blackAndWhite="1" r:id="rId1"/>
  <headerFooter alignWithMargins="0">
    <oddHeader xml:space="preserve">&amp;RState of Kansas
City
</oddHeader>
    <oddFooter>&amp;C   Page No.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5"/>
  <sheetViews>
    <sheetView workbookViewId="0">
      <selection activeCell="E97" sqref="E97"/>
    </sheetView>
  </sheetViews>
  <sheetFormatPr defaultColWidth="8.88671875" defaultRowHeight="15.75" x14ac:dyDescent="0.2"/>
  <cols>
    <col min="1" max="1" width="8.88671875" style="26"/>
    <col min="2" max="2" width="17.88671875" style="26" customWidth="1"/>
    <col min="3" max="3" width="16.109375" style="26" customWidth="1"/>
    <col min="4" max="8" width="12.77734375" style="26" customWidth="1"/>
    <col min="9" max="9" width="10.21875" style="26" customWidth="1"/>
    <col min="10" max="16384" width="8.88671875" style="26"/>
  </cols>
  <sheetData>
    <row r="1" spans="1:9" x14ac:dyDescent="0.2">
      <c r="A1" s="438"/>
      <c r="B1" s="47" t="str">
        <f>inputPrYr!D3</f>
        <v>Wellsville</v>
      </c>
      <c r="C1" s="47"/>
      <c r="D1" s="28"/>
      <c r="E1" s="28"/>
      <c r="F1" s="28"/>
      <c r="G1" s="28"/>
      <c r="H1" s="28"/>
      <c r="I1" s="28">
        <f>inputPrYr!C6</f>
        <v>2024</v>
      </c>
    </row>
    <row r="2" spans="1:9" x14ac:dyDescent="0.2">
      <c r="A2" s="438"/>
      <c r="B2" s="28"/>
      <c r="C2" s="28"/>
      <c r="D2" s="28"/>
      <c r="E2" s="28"/>
      <c r="F2" s="28"/>
      <c r="G2" s="28"/>
      <c r="H2" s="28"/>
      <c r="I2" s="28"/>
    </row>
    <row r="3" spans="1:9" x14ac:dyDescent="0.2">
      <c r="A3" s="681" t="s">
        <v>531</v>
      </c>
      <c r="B3" s="681"/>
      <c r="C3" s="681"/>
      <c r="D3" s="681"/>
      <c r="E3" s="681"/>
      <c r="F3" s="681"/>
      <c r="G3" s="681"/>
      <c r="H3" s="681"/>
      <c r="I3" s="681"/>
    </row>
    <row r="4" spans="1:9" x14ac:dyDescent="0.2">
      <c r="A4" s="438"/>
      <c r="B4" s="28"/>
      <c r="C4" s="113"/>
      <c r="D4" s="33"/>
      <c r="E4" s="33"/>
      <c r="F4" s="28"/>
      <c r="G4" s="28"/>
      <c r="H4" s="28"/>
      <c r="I4" s="28"/>
    </row>
    <row r="5" spans="1:9" ht="21" customHeight="1" x14ac:dyDescent="0.2">
      <c r="A5" s="438"/>
      <c r="B5" s="114" t="s">
        <v>188</v>
      </c>
      <c r="C5" s="505" t="s">
        <v>521</v>
      </c>
      <c r="D5" s="678" t="str">
        <f>CONCATENATE("Allocation for Year ",I1,"")</f>
        <v>Allocation for Year 2024</v>
      </c>
      <c r="E5" s="679"/>
      <c r="F5" s="679"/>
      <c r="G5" s="679"/>
      <c r="H5" s="680"/>
      <c r="I5" s="28"/>
    </row>
    <row r="6" spans="1:9" x14ac:dyDescent="0.2">
      <c r="A6" s="438"/>
      <c r="B6" s="92" t="str">
        <f>CONCATENATE("for ",I1-1,"")</f>
        <v>for 2023</v>
      </c>
      <c r="C6" s="92" t="str">
        <f>CONCATENATE("Tax Year ",I1-2,"")</f>
        <v>Tax Year 2022</v>
      </c>
      <c r="D6" s="91" t="s">
        <v>127</v>
      </c>
      <c r="E6" s="91" t="s">
        <v>128</v>
      </c>
      <c r="F6" s="91" t="s">
        <v>126</v>
      </c>
      <c r="G6" s="504" t="s">
        <v>519</v>
      </c>
      <c r="H6" s="504" t="s">
        <v>520</v>
      </c>
      <c r="I6" s="109"/>
    </row>
    <row r="7" spans="1:9" x14ac:dyDescent="0.2">
      <c r="A7" s="438"/>
      <c r="B7" s="52" t="str">
        <f>(inputPrYr!B18)</f>
        <v>General</v>
      </c>
      <c r="C7" s="94">
        <f>(inputPrYr!E18)</f>
        <v>771791</v>
      </c>
      <c r="D7" s="94">
        <f>IF(inputPrYr!E18=0,0,D22-SUM(D8:D19))</f>
        <v>64788</v>
      </c>
      <c r="E7" s="94">
        <f>IF(inputPrYr!E18=0,0,E23-SUM(E8:E19))</f>
        <v>1413</v>
      </c>
      <c r="F7" s="94">
        <f>IF(inputPrYr!E18=0,0,F24-SUM(F8:F19))</f>
        <v>524</v>
      </c>
      <c r="G7" s="94">
        <f>IF(inputPrYr!E18=0,0,G25-SUM(G8:G19))</f>
        <v>1867</v>
      </c>
      <c r="H7" s="94">
        <f>IF(inputPrYr!E18=0,0,H26-SUM(H8:H19))</f>
        <v>325</v>
      </c>
      <c r="I7" s="438"/>
    </row>
    <row r="8" spans="1:9" x14ac:dyDescent="0.2">
      <c r="A8" s="438"/>
      <c r="B8" s="52" t="str">
        <f>IF(inputPrYr!$B19&gt;"  ",(inputPrYr!$B19),"  ")</f>
        <v>Debt Service</v>
      </c>
      <c r="C8" s="94">
        <f>IF(inputPrYr!$E19&gt;0,(inputPrYr!$E19),"  ")</f>
        <v>45021</v>
      </c>
      <c r="D8" s="94">
        <f>IF(inputPrYr!E19&gt;0,ROUND(C8*$D$29,0),"  ")</f>
        <v>3779</v>
      </c>
      <c r="E8" s="94">
        <f>IF(inputPrYr!E19&gt;0,ROUND(+C8*E$30,0)," ")</f>
        <v>82</v>
      </c>
      <c r="F8" s="94">
        <f>IF(inputPrYr!E19&gt;0,ROUND(C8*F$31,0)," ")</f>
        <v>31</v>
      </c>
      <c r="G8" s="94">
        <f>IF(inputPrYr!E19&gt;0,ROUND(C8*G$32,0)," ")</f>
        <v>109</v>
      </c>
      <c r="H8" s="94">
        <f>IF(inputPrYr!E19&gt;0,ROUND(C8*H$33,0)," ")</f>
        <v>19</v>
      </c>
      <c r="I8" s="438"/>
    </row>
    <row r="9" spans="1:9" x14ac:dyDescent="0.2">
      <c r="A9" s="438"/>
      <c r="B9" s="52" t="str">
        <f>IF(inputPrYr!$B20&gt;"  ",(inputPrYr!$B20),"  ")</f>
        <v>Library</v>
      </c>
      <c r="C9" s="94">
        <f>IF(inputPrYr!$E20&gt;0,(inputPrYr!$E20),"  ")</f>
        <v>92374</v>
      </c>
      <c r="D9" s="94">
        <f>IF(inputPrYr!E20&gt;0,ROUND(C9*$D$29,0),"  ")</f>
        <v>7754</v>
      </c>
      <c r="E9" s="94">
        <f>IF(inputPrYr!E20&gt;0,ROUND(+C9*E$30,0)," ")</f>
        <v>169</v>
      </c>
      <c r="F9" s="94">
        <f>IF(inputPrYr!E20&gt;0,ROUND(+C9*F$31,0)," ")</f>
        <v>63</v>
      </c>
      <c r="G9" s="94">
        <f>IF(inputPrYr!E20&gt;0,ROUND(C9*G$32,0)," ")</f>
        <v>223</v>
      </c>
      <c r="H9" s="94">
        <f>IF(inputPrYr!E20&gt;0,ROUND(C9*H$33,0)," ")</f>
        <v>39</v>
      </c>
      <c r="I9" s="438"/>
    </row>
    <row r="10" spans="1:9" x14ac:dyDescent="0.2">
      <c r="A10" s="438"/>
      <c r="B10" s="52" t="str">
        <f>IF(inputPrYr!$B22&gt;"  ",(inputPrYr!$B22),"  ")</f>
        <v>Employee Benefits</v>
      </c>
      <c r="C10" s="94">
        <f>IF(inputPrYr!$E22&gt;0,(inputPrYr!$E22),"  ")</f>
        <v>112256</v>
      </c>
      <c r="D10" s="94">
        <f>IF(inputPrYr!E22&gt;0,ROUND(C10*$D$29,0),"  ")</f>
        <v>9423</v>
      </c>
      <c r="E10" s="94">
        <f>IF(inputPrYr!E22&gt;0,ROUND(+C10*E$30,0)," ")</f>
        <v>205</v>
      </c>
      <c r="F10" s="94">
        <f>IF(inputPrYr!E22&gt;0,ROUND(+C10*F$31,0)," ")</f>
        <v>76</v>
      </c>
      <c r="G10" s="94">
        <f>IF(inputPrYr!E22&gt;0,ROUND(C10*G$32,0)," ")</f>
        <v>271</v>
      </c>
      <c r="H10" s="94">
        <f>IF(inputPrYr!E22&gt;0,ROUND(C10*H$33,0)," ")</f>
        <v>47</v>
      </c>
      <c r="I10" s="438"/>
    </row>
    <row r="11" spans="1:9" x14ac:dyDescent="0.2">
      <c r="A11" s="438"/>
      <c r="B11" s="52" t="str">
        <f>IF(inputPrYr!$B23&gt;"  ",(inputPrYr!$B23),"  ")</f>
        <v>Library Employee Benefits</v>
      </c>
      <c r="C11" s="94">
        <f>IF(inputPrYr!$E23&gt;0,(inputPrYr!$E23),"  ")</f>
        <v>7869</v>
      </c>
      <c r="D11" s="94">
        <f>IF(inputPrYr!E23&gt;0,ROUND(C11*$D$29,0),"  ")</f>
        <v>661</v>
      </c>
      <c r="E11" s="94">
        <f>IF(inputPrYr!E23&gt;0,ROUND(+C11*E$30,0)," ")</f>
        <v>14</v>
      </c>
      <c r="F11" s="94">
        <f>IF(inputPrYr!E23&gt;0,ROUND(+C11*F$31,0)," ")</f>
        <v>5</v>
      </c>
      <c r="G11" s="94">
        <f>IF(inputPrYr!E23&gt;0,ROUND(C11*G$32,0)," ")</f>
        <v>19</v>
      </c>
      <c r="H11" s="94">
        <f>IF(inputPrYr!E23&gt;0,ROUND(C11*H$33,0)," ")</f>
        <v>3</v>
      </c>
      <c r="I11" s="438"/>
    </row>
    <row r="12" spans="1:9" x14ac:dyDescent="0.2">
      <c r="A12" s="438"/>
      <c r="B12" s="52" t="str">
        <f>IF(inputPrYr!$B24&gt;"  ",(inputPrYr!$B24),"  ")</f>
        <v>Special Tort Claim</v>
      </c>
      <c r="C12" s="94">
        <f>IF(inputPrYr!$E24&gt;0,(inputPrYr!$E24),"  ")</f>
        <v>33814</v>
      </c>
      <c r="D12" s="94">
        <f>IF(inputPrYr!E24&gt;0,ROUND(C12*$D$29,0),"  ")</f>
        <v>2839</v>
      </c>
      <c r="E12" s="94">
        <f>IF(inputPrYr!E24&gt;0,ROUND(+C12*E$30,0)," ")</f>
        <v>62</v>
      </c>
      <c r="F12" s="94">
        <f>IF(inputPrYr!E24&gt;0,ROUND(+C12*F$31,0)," ")</f>
        <v>23</v>
      </c>
      <c r="G12" s="94">
        <f>IF(inputPrYr!E24&gt;0,ROUND(C12*G$32,0)," ")</f>
        <v>82</v>
      </c>
      <c r="H12" s="94">
        <f>IF(inputPrYr!E24&gt;0,ROUND(C12*H$33,0)," ")</f>
        <v>14</v>
      </c>
      <c r="I12" s="438"/>
    </row>
    <row r="13" spans="1:9" x14ac:dyDescent="0.2">
      <c r="A13" s="438"/>
      <c r="B13" s="52" t="str">
        <f>IF(inputPrYr!$B25&gt;"  ",(inputPrYr!$B25),"  ")</f>
        <v xml:space="preserve">  </v>
      </c>
      <c r="C13" s="94" t="str">
        <f>IF(inputPrYr!$E25&gt;0,(inputPrYr!$E25),"  ")</f>
        <v xml:space="preserve">  </v>
      </c>
      <c r="D13" s="94" t="str">
        <f>IF(inputPrYr!E25&gt;0,ROUND(C13*$D$29,0),"  ")</f>
        <v xml:space="preserve">  </v>
      </c>
      <c r="E13" s="94" t="str">
        <f>IF(inputPrYr!E25&gt;0,ROUND(+C13*E$30,0)," ")</f>
        <v xml:space="preserve"> </v>
      </c>
      <c r="F13" s="94" t="str">
        <f>IF(inputPrYr!E25&gt;0,ROUND(+C13*F$31,0)," ")</f>
        <v xml:space="preserve"> </v>
      </c>
      <c r="G13" s="94" t="str">
        <f>IF(inputPrYr!E25&gt;0,ROUND(C13*G$32,0)," ")</f>
        <v xml:space="preserve"> </v>
      </c>
      <c r="H13" s="94" t="str">
        <f>IF(inputPrYr!E25&gt;0,ROUND(C13*H$33,0)," ")</f>
        <v xml:space="preserve"> </v>
      </c>
      <c r="I13" s="438"/>
    </row>
    <row r="14" spans="1:9" x14ac:dyDescent="0.2">
      <c r="A14" s="438"/>
      <c r="B14" s="52" t="str">
        <f>IF(inputPrYr!$B26&gt;"  ",(inputPrYr!$B26),"  ")</f>
        <v xml:space="preserve">  </v>
      </c>
      <c r="C14" s="94" t="str">
        <f>IF(inputPrYr!$E26&gt;0,(inputPrYr!$E26),"  ")</f>
        <v xml:space="preserve">  </v>
      </c>
      <c r="D14" s="94" t="str">
        <f>IF(inputPrYr!E26&gt;0,ROUND(C14*$D$29,0),"  ")</f>
        <v xml:space="preserve">  </v>
      </c>
      <c r="E14" s="94" t="str">
        <f>IF(inputPrYr!E26&gt;0,ROUND(+C14*E$30,0)," ")</f>
        <v xml:space="preserve"> </v>
      </c>
      <c r="F14" s="94" t="str">
        <f>IF(inputPrYr!E26&gt;0,ROUND(+C14*F$31,0)," ")</f>
        <v xml:space="preserve"> </v>
      </c>
      <c r="G14" s="94" t="str">
        <f>IF(inputPrYr!E26&gt;0,ROUND(C14*G$32,0)," ")</f>
        <v xml:space="preserve"> </v>
      </c>
      <c r="H14" s="94" t="str">
        <f>IF(inputPrYr!E26&gt;0,ROUND(C14*H$33,0)," ")</f>
        <v xml:space="preserve"> </v>
      </c>
      <c r="I14" s="438"/>
    </row>
    <row r="15" spans="1:9" x14ac:dyDescent="0.2">
      <c r="A15" s="438"/>
      <c r="B15" s="52" t="str">
        <f>IF(inputPrYr!$B27&gt;"  ",(inputPrYr!$B27),"  ")</f>
        <v xml:space="preserve">  </v>
      </c>
      <c r="C15" s="94" t="str">
        <f>IF(inputPrYr!$E27&gt;0,(inputPrYr!$E27),"  ")</f>
        <v xml:space="preserve">  </v>
      </c>
      <c r="D15" s="94" t="str">
        <f>IF(inputPrYr!E27&gt;0,ROUND(C15*$D$29,0),"  ")</f>
        <v xml:space="preserve">  </v>
      </c>
      <c r="E15" s="94" t="str">
        <f>IF(inputPrYr!E27&gt;0,ROUND(+C15*E$30,0)," ")</f>
        <v xml:space="preserve"> </v>
      </c>
      <c r="F15" s="94" t="str">
        <f>IF(inputPrYr!E27&gt;0,ROUND(+C15*F$31,0)," ")</f>
        <v xml:space="preserve"> </v>
      </c>
      <c r="G15" s="94" t="str">
        <f>IF(inputPrYr!E27&gt;0,ROUND(C15*G$32,0)," ")</f>
        <v xml:space="preserve"> </v>
      </c>
      <c r="H15" s="94" t="str">
        <f>IF(inputPrYr!E27&gt;0,ROUND(C15*H$33,0)," ")</f>
        <v xml:space="preserve"> </v>
      </c>
      <c r="I15" s="438"/>
    </row>
    <row r="16" spans="1:9" x14ac:dyDescent="0.2">
      <c r="A16" s="438"/>
      <c r="B16" s="52" t="str">
        <f>IF(inputPrYr!$B28&gt;"  ",(inputPrYr!$B28),"  ")</f>
        <v xml:space="preserve">  </v>
      </c>
      <c r="C16" s="94" t="str">
        <f>IF(inputPrYr!$E28&gt;0,(inputPrYr!$E28),"  ")</f>
        <v xml:space="preserve">  </v>
      </c>
      <c r="D16" s="94" t="str">
        <f>IF(inputPrYr!E28&gt;0,ROUND(C16*$D$29,0),"  ")</f>
        <v xml:space="preserve">  </v>
      </c>
      <c r="E16" s="94" t="str">
        <f>IF(inputPrYr!E28&gt;0,ROUND(+C16*E$30,0)," ")</f>
        <v xml:space="preserve"> </v>
      </c>
      <c r="F16" s="94" t="str">
        <f>IF(inputPrYr!E28&gt;0,ROUND(+C16*F$31,0)," ")</f>
        <v xml:space="preserve"> </v>
      </c>
      <c r="G16" s="94" t="str">
        <f>IF(inputPrYr!E28&gt;0,ROUND(C16*G$32,0)," ")</f>
        <v xml:space="preserve"> </v>
      </c>
      <c r="H16" s="94" t="str">
        <f>IF(inputPrYr!E28&gt;0,ROUND(C16*H$33,0)," ")</f>
        <v xml:space="preserve"> </v>
      </c>
      <c r="I16" s="438"/>
    </row>
    <row r="17" spans="1:9" x14ac:dyDescent="0.2">
      <c r="A17" s="438"/>
      <c r="B17" s="52" t="str">
        <f>IF(inputPrYr!$B29&gt;"  ",(inputPrYr!$B29),"  ")</f>
        <v xml:space="preserve">  </v>
      </c>
      <c r="C17" s="94" t="str">
        <f>IF(inputPrYr!$E29&gt;0,(inputPrYr!$E29),"  ")</f>
        <v xml:space="preserve">  </v>
      </c>
      <c r="D17" s="94" t="str">
        <f>IF(inputPrYr!E29&gt;0,ROUND(C17*$D$29,0),"  ")</f>
        <v xml:space="preserve">  </v>
      </c>
      <c r="E17" s="94" t="str">
        <f>IF(inputPrYr!E29&gt;0,ROUND(+C17*E$30,0)," ")</f>
        <v xml:space="preserve"> </v>
      </c>
      <c r="F17" s="94" t="str">
        <f>IF(inputPrYr!E29&gt;0,ROUND(+C17*F$31,0)," ")</f>
        <v xml:space="preserve"> </v>
      </c>
      <c r="G17" s="94" t="str">
        <f>IF(inputPrYr!E29&gt;0,ROUND(C17*G$32,0)," ")</f>
        <v xml:space="preserve"> </v>
      </c>
      <c r="H17" s="94" t="str">
        <f>IF(inputPrYr!E29&gt;0,ROUND(C17*H$33,0)," ")</f>
        <v xml:space="preserve"> </v>
      </c>
      <c r="I17" s="438"/>
    </row>
    <row r="18" spans="1:9" x14ac:dyDescent="0.2">
      <c r="A18" s="438"/>
      <c r="B18" s="52" t="str">
        <f>IF(inputPrYr!$B30&gt;"  ",(inputPrYr!$B30),"  ")</f>
        <v xml:space="preserve">  </v>
      </c>
      <c r="C18" s="94" t="str">
        <f>IF(inputPrYr!$E30&gt;0,(inputPrYr!$E30),"  ")</f>
        <v xml:space="preserve">  </v>
      </c>
      <c r="D18" s="94" t="str">
        <f>IF(inputPrYr!E30&gt;0,ROUND(C18*$D$29,0),"  ")</f>
        <v xml:space="preserve">  </v>
      </c>
      <c r="E18" s="94" t="str">
        <f>IF(inputPrYr!E30&gt;0,ROUND(+C18*E$30,0)," ")</f>
        <v xml:space="preserve"> </v>
      </c>
      <c r="F18" s="94" t="str">
        <f>IF(inputPrYr!E30&gt;0,ROUND(+C18*F$31,0)," ")</f>
        <v xml:space="preserve"> </v>
      </c>
      <c r="G18" s="94" t="str">
        <f>IF(inputPrYr!E30&gt;0,ROUND(C18*G$32,0)," ")</f>
        <v xml:space="preserve"> </v>
      </c>
      <c r="H18" s="94" t="str">
        <f>IF(inputPrYr!E30&gt;0,ROUND(C18*H$33,0)," ")</f>
        <v xml:space="preserve"> </v>
      </c>
      <c r="I18" s="438"/>
    </row>
    <row r="19" spans="1:9" x14ac:dyDescent="0.2">
      <c r="A19" s="438"/>
      <c r="B19" s="52" t="str">
        <f>IF(inputPrYr!B31&gt;"  ",(inputPrYr!B31),"  ")</f>
        <v xml:space="preserve">  </v>
      </c>
      <c r="C19" s="94" t="str">
        <f>IF(inputPrYr!E31&gt;0,(inputPrYr!E31),"  ")</f>
        <v xml:space="preserve">  </v>
      </c>
      <c r="D19" s="94" t="str">
        <f>IF(inputPrYr!E31&gt;0,ROUND(C19*$D$29,0),"  ")</f>
        <v xml:space="preserve">  </v>
      </c>
      <c r="E19" s="94" t="str">
        <f>IF(inputPrYr!E31&gt;0,ROUND(+C19*E$30,0)," ")</f>
        <v xml:space="preserve"> </v>
      </c>
      <c r="F19" s="94" t="str">
        <f>IF(inputPrYr!E31&gt;0,ROUND(+C19*F$31,0)," ")</f>
        <v xml:space="preserve"> </v>
      </c>
      <c r="G19" s="94" t="str">
        <f>IF(inputPrYr!E31&gt;0,ROUND(C19*G$32,0)," ")</f>
        <v xml:space="preserve"> </v>
      </c>
      <c r="H19" s="94" t="str">
        <f>IF(inputPrYr!E31&gt;0,ROUND(C19*H$33,0)," ")</f>
        <v xml:space="preserve"> </v>
      </c>
      <c r="I19" s="438"/>
    </row>
    <row r="20" spans="1:9" x14ac:dyDescent="0.2">
      <c r="A20" s="438"/>
      <c r="B20" s="28" t="s">
        <v>55</v>
      </c>
      <c r="C20" s="101">
        <f t="shared" ref="C20:H20" si="0">SUM(C7:C19)</f>
        <v>1063125</v>
      </c>
      <c r="D20" s="101">
        <f t="shared" si="0"/>
        <v>89244</v>
      </c>
      <c r="E20" s="101">
        <f t="shared" si="0"/>
        <v>1945</v>
      </c>
      <c r="F20" s="101">
        <f t="shared" si="0"/>
        <v>722</v>
      </c>
      <c r="G20" s="101">
        <f t="shared" si="0"/>
        <v>2571</v>
      </c>
      <c r="H20" s="101">
        <f t="shared" si="0"/>
        <v>447</v>
      </c>
      <c r="I20" s="28"/>
    </row>
    <row r="21" spans="1:9" x14ac:dyDescent="0.2">
      <c r="A21" s="438"/>
      <c r="B21" s="28"/>
      <c r="C21" s="47"/>
      <c r="D21" s="47"/>
      <c r="E21" s="47"/>
      <c r="F21" s="47"/>
      <c r="G21" s="47"/>
      <c r="H21" s="47"/>
      <c r="I21" s="28"/>
    </row>
    <row r="22" spans="1:9" x14ac:dyDescent="0.2">
      <c r="A22" s="438"/>
      <c r="B22" s="466" t="s">
        <v>56</v>
      </c>
      <c r="C22" s="115"/>
      <c r="D22" s="116">
        <f>(inputOth!E42)</f>
        <v>89244</v>
      </c>
      <c r="E22" s="115"/>
      <c r="F22" s="28"/>
      <c r="G22" s="28"/>
      <c r="H22" s="28"/>
      <c r="I22" s="28"/>
    </row>
    <row r="23" spans="1:9" x14ac:dyDescent="0.2">
      <c r="A23" s="438"/>
      <c r="B23" s="466" t="s">
        <v>522</v>
      </c>
      <c r="C23" s="28"/>
      <c r="D23" s="28"/>
      <c r="E23" s="116">
        <f>(inputOth!E43)</f>
        <v>1945</v>
      </c>
      <c r="F23" s="28"/>
      <c r="G23" s="28"/>
      <c r="H23" s="28"/>
      <c r="I23" s="28"/>
    </row>
    <row r="24" spans="1:9" x14ac:dyDescent="0.2">
      <c r="A24" s="438"/>
      <c r="B24" s="466" t="s">
        <v>523</v>
      </c>
      <c r="C24" s="28"/>
      <c r="D24" s="28"/>
      <c r="E24" s="28"/>
      <c r="F24" s="116">
        <f>inputOth!E44</f>
        <v>722</v>
      </c>
      <c r="G24" s="47"/>
      <c r="H24" s="47"/>
      <c r="I24" s="28"/>
    </row>
    <row r="25" spans="1:9" x14ac:dyDescent="0.2">
      <c r="A25" s="438"/>
      <c r="B25" s="467" t="s">
        <v>524</v>
      </c>
      <c r="C25" s="28"/>
      <c r="D25" s="28"/>
      <c r="E25" s="28"/>
      <c r="F25" s="47"/>
      <c r="G25" s="116">
        <f>inputOth!E45</f>
        <v>2571</v>
      </c>
      <c r="H25" s="47"/>
      <c r="I25" s="28"/>
    </row>
    <row r="26" spans="1:9" x14ac:dyDescent="0.2">
      <c r="A26" s="438"/>
      <c r="B26" s="467" t="s">
        <v>525</v>
      </c>
      <c r="C26" s="28"/>
      <c r="D26" s="28"/>
      <c r="E26" s="28"/>
      <c r="F26" s="47"/>
      <c r="G26" s="47"/>
      <c r="H26" s="116">
        <f>inputOth!E46</f>
        <v>447</v>
      </c>
      <c r="I26" s="28"/>
    </row>
    <row r="27" spans="1:9" x14ac:dyDescent="0.2">
      <c r="A27" s="438"/>
      <c r="B27" s="29"/>
      <c r="C27" s="28"/>
      <c r="D27" s="28"/>
      <c r="E27" s="28"/>
      <c r="F27" s="47"/>
      <c r="G27" s="47"/>
      <c r="H27" s="47"/>
      <c r="I27" s="28"/>
    </row>
    <row r="28" spans="1:9" x14ac:dyDescent="0.2">
      <c r="A28" s="438"/>
      <c r="B28" s="29"/>
      <c r="C28" s="28"/>
      <c r="D28" s="28"/>
      <c r="E28" s="28"/>
      <c r="F28" s="47"/>
      <c r="G28" s="47"/>
      <c r="H28" s="47"/>
      <c r="I28" s="56"/>
    </row>
    <row r="29" spans="1:9" x14ac:dyDescent="0.2">
      <c r="A29" s="438"/>
      <c r="B29" s="29" t="s">
        <v>57</v>
      </c>
      <c r="C29" s="28"/>
      <c r="D29" s="117">
        <f>IF(C20=0,0,D22/C20)</f>
        <v>8.3944973544973545E-2</v>
      </c>
      <c r="E29" s="28"/>
      <c r="F29" s="28"/>
      <c r="G29" s="28"/>
      <c r="H29" s="28"/>
      <c r="I29" s="28"/>
    </row>
    <row r="30" spans="1:9" x14ac:dyDescent="0.2">
      <c r="A30" s="438"/>
      <c r="B30" s="28"/>
      <c r="C30" s="29" t="s">
        <v>58</v>
      </c>
      <c r="D30" s="28"/>
      <c r="E30" s="117">
        <f>IF(C20=0,0,E23/C20)</f>
        <v>1.8295120517342739E-3</v>
      </c>
      <c r="F30" s="28"/>
      <c r="G30" s="28"/>
      <c r="H30" s="28"/>
      <c r="I30" s="28"/>
    </row>
    <row r="31" spans="1:9" x14ac:dyDescent="0.2">
      <c r="A31" s="438"/>
      <c r="B31" s="28"/>
      <c r="C31" s="28"/>
      <c r="D31" s="29" t="s">
        <v>129</v>
      </c>
      <c r="E31" s="28"/>
      <c r="F31" s="117">
        <f>IF(C20=0,0,F24/C20)</f>
        <v>6.7912992357436802E-4</v>
      </c>
      <c r="G31" s="500"/>
      <c r="H31" s="500"/>
      <c r="I31" s="28"/>
    </row>
    <row r="32" spans="1:9" x14ac:dyDescent="0.2">
      <c r="A32" s="438"/>
      <c r="B32" s="28"/>
      <c r="C32" s="28"/>
      <c r="D32" s="29"/>
      <c r="E32" s="507" t="s">
        <v>526</v>
      </c>
      <c r="F32" s="506"/>
      <c r="G32" s="117">
        <f>IF(C20=0,0,G25/C20)</f>
        <v>2.4183421516754851E-3</v>
      </c>
      <c r="H32" s="500"/>
      <c r="I32" s="28"/>
    </row>
    <row r="33" spans="1:9" x14ac:dyDescent="0.2">
      <c r="A33" s="438"/>
      <c r="B33" s="28"/>
      <c r="C33" s="28"/>
      <c r="D33" s="29"/>
      <c r="E33" s="467"/>
      <c r="F33" s="507" t="s">
        <v>527</v>
      </c>
      <c r="G33" s="500"/>
      <c r="H33" s="117">
        <f>IF(C20=0,0,H26/C20)</f>
        <v>4.2045855379188715E-4</v>
      </c>
      <c r="I33" s="28"/>
    </row>
    <row r="34" spans="1:9" x14ac:dyDescent="0.2">
      <c r="A34" s="438"/>
      <c r="B34" s="28"/>
      <c r="C34" s="28"/>
      <c r="D34" s="28"/>
      <c r="E34" s="28"/>
      <c r="F34" s="28"/>
      <c r="G34" s="28"/>
      <c r="H34" s="28"/>
      <c r="I34" s="28"/>
    </row>
    <row r="35" spans="1:9" x14ac:dyDescent="0.2">
      <c r="A35" s="438"/>
      <c r="B35" s="40"/>
      <c r="C35" s="40"/>
      <c r="D35" s="40"/>
      <c r="E35" s="40"/>
      <c r="F35" s="40"/>
      <c r="G35" s="40"/>
      <c r="H35" s="40"/>
      <c r="I35" s="40"/>
    </row>
  </sheetData>
  <sheetProtection sheet="1" objects="1" scenarios="1"/>
  <mergeCells count="2">
    <mergeCell ref="D5:H5"/>
    <mergeCell ref="A3:I3"/>
  </mergeCells>
  <phoneticPr fontId="0" type="noConversion"/>
  <pageMargins left="0.5" right="0.5" top="1" bottom="0.5" header="0.5" footer="0.5"/>
  <pageSetup scale="68" orientation="portrait" blackAndWhite="1" horizontalDpi="120" verticalDpi="144" r:id="rId1"/>
  <headerFooter alignWithMargins="0">
    <oddHeader xml:space="preserve">&amp;RState of Kansas
City
</oddHeader>
    <oddFooter xml:space="preserve">&amp;CPage No. 2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G32"/>
  <sheetViews>
    <sheetView workbookViewId="0">
      <selection activeCell="E97" sqref="E97"/>
    </sheetView>
  </sheetViews>
  <sheetFormatPr defaultColWidth="8.88671875" defaultRowHeight="15.75" x14ac:dyDescent="0.2"/>
  <cols>
    <col min="1" max="1" width="4.21875" style="24" customWidth="1"/>
    <col min="2" max="3" width="17.77734375" style="24" customWidth="1"/>
    <col min="4" max="7" width="12.77734375" style="24" customWidth="1"/>
    <col min="8" max="16384" width="8.88671875" style="24"/>
  </cols>
  <sheetData>
    <row r="1" spans="2:7" x14ac:dyDescent="0.2">
      <c r="B1" s="47" t="str">
        <f>inputPrYr!D3</f>
        <v>Wellsville</v>
      </c>
      <c r="C1" s="47"/>
      <c r="D1" s="28"/>
      <c r="E1" s="28"/>
      <c r="F1" s="28"/>
      <c r="G1" s="28">
        <f>inputPrYr!$C$6</f>
        <v>2024</v>
      </c>
    </row>
    <row r="2" spans="2:7" x14ac:dyDescent="0.2">
      <c r="B2" s="28"/>
      <c r="C2" s="28"/>
      <c r="D2" s="28"/>
      <c r="E2" s="28"/>
      <c r="F2" s="28"/>
      <c r="G2" s="28"/>
    </row>
    <row r="3" spans="2:7" x14ac:dyDescent="0.2">
      <c r="B3" s="681" t="s">
        <v>141</v>
      </c>
      <c r="C3" s="681"/>
      <c r="D3" s="681"/>
      <c r="E3" s="681"/>
      <c r="F3" s="681"/>
      <c r="G3" s="681"/>
    </row>
    <row r="4" spans="2:7" x14ac:dyDescent="0.2">
      <c r="B4" s="118"/>
      <c r="C4" s="118"/>
      <c r="D4" s="118"/>
      <c r="E4" s="118"/>
      <c r="F4" s="118"/>
      <c r="G4" s="118"/>
    </row>
    <row r="5" spans="2:7" x14ac:dyDescent="0.2">
      <c r="B5" s="119" t="s">
        <v>310</v>
      </c>
      <c r="C5" s="119" t="s">
        <v>311</v>
      </c>
      <c r="D5" s="119" t="s">
        <v>81</v>
      </c>
      <c r="E5" s="119" t="s">
        <v>146</v>
      </c>
      <c r="F5" s="119" t="s">
        <v>147</v>
      </c>
      <c r="G5" s="119" t="s">
        <v>180</v>
      </c>
    </row>
    <row r="6" spans="2:7" x14ac:dyDescent="0.2">
      <c r="B6" s="120" t="s">
        <v>312</v>
      </c>
      <c r="C6" s="120" t="s">
        <v>313</v>
      </c>
      <c r="D6" s="120" t="s">
        <v>181</v>
      </c>
      <c r="E6" s="120" t="s">
        <v>181</v>
      </c>
      <c r="F6" s="120" t="s">
        <v>181</v>
      </c>
      <c r="G6" s="120" t="s">
        <v>182</v>
      </c>
    </row>
    <row r="7" spans="2:7" ht="15" customHeight="1" x14ac:dyDescent="0.2">
      <c r="B7" s="121" t="s">
        <v>183</v>
      </c>
      <c r="C7" s="121" t="s">
        <v>184</v>
      </c>
      <c r="D7" s="122">
        <f>G1-2</f>
        <v>2022</v>
      </c>
      <c r="E7" s="122">
        <f>G1-1</f>
        <v>2023</v>
      </c>
      <c r="F7" s="122">
        <f>G1</f>
        <v>2024</v>
      </c>
      <c r="G7" s="121" t="s">
        <v>185</v>
      </c>
    </row>
    <row r="8" spans="2:7" ht="14.25" customHeight="1" x14ac:dyDescent="0.2">
      <c r="B8" s="123"/>
      <c r="C8" s="123"/>
      <c r="D8" s="124"/>
      <c r="E8" s="124"/>
      <c r="F8" s="124"/>
      <c r="G8" s="125"/>
    </row>
    <row r="9" spans="2:7" ht="15" customHeight="1" x14ac:dyDescent="0.2">
      <c r="B9" s="126"/>
      <c r="C9" s="126"/>
      <c r="D9" s="127"/>
      <c r="E9" s="127"/>
      <c r="F9" s="127"/>
      <c r="G9" s="125"/>
    </row>
    <row r="10" spans="2:7" ht="15" customHeight="1" x14ac:dyDescent="0.2">
      <c r="B10" s="126"/>
      <c r="C10" s="126"/>
      <c r="D10" s="127"/>
      <c r="E10" s="127"/>
      <c r="F10" s="127"/>
      <c r="G10" s="125"/>
    </row>
    <row r="11" spans="2:7" ht="15" customHeight="1" x14ac:dyDescent="0.2">
      <c r="B11" s="126"/>
      <c r="C11" s="126"/>
      <c r="D11" s="127"/>
      <c r="E11" s="127"/>
      <c r="F11" s="127"/>
      <c r="G11" s="125"/>
    </row>
    <row r="12" spans="2:7" ht="15" customHeight="1" x14ac:dyDescent="0.2">
      <c r="B12" s="126"/>
      <c r="C12" s="126"/>
      <c r="D12" s="127"/>
      <c r="E12" s="127"/>
      <c r="F12" s="127"/>
      <c r="G12" s="125"/>
    </row>
    <row r="13" spans="2:7" ht="15" customHeight="1" x14ac:dyDescent="0.2">
      <c r="B13" s="126"/>
      <c r="C13" s="126"/>
      <c r="D13" s="127"/>
      <c r="E13" s="127"/>
      <c r="F13" s="127"/>
      <c r="G13" s="125"/>
    </row>
    <row r="14" spans="2:7" ht="15" customHeight="1" x14ac:dyDescent="0.2">
      <c r="B14" s="126"/>
      <c r="C14" s="126"/>
      <c r="D14" s="127"/>
      <c r="E14" s="127"/>
      <c r="F14" s="127"/>
      <c r="G14" s="125"/>
    </row>
    <row r="15" spans="2:7" ht="15" customHeight="1" x14ac:dyDescent="0.2">
      <c r="B15" s="126"/>
      <c r="C15" s="126"/>
      <c r="D15" s="127"/>
      <c r="E15" s="127"/>
      <c r="F15" s="127"/>
      <c r="G15" s="125"/>
    </row>
    <row r="16" spans="2:7" ht="15" customHeight="1" x14ac:dyDescent="0.2">
      <c r="B16" s="126"/>
      <c r="C16" s="126"/>
      <c r="D16" s="127"/>
      <c r="E16" s="127"/>
      <c r="F16" s="127"/>
      <c r="G16" s="125"/>
    </row>
    <row r="17" spans="2:7" ht="15" customHeight="1" x14ac:dyDescent="0.2">
      <c r="B17" s="126"/>
      <c r="C17" s="126"/>
      <c r="D17" s="127"/>
      <c r="E17" s="127"/>
      <c r="F17" s="127"/>
      <c r="G17" s="125"/>
    </row>
    <row r="18" spans="2:7" ht="15" customHeight="1" x14ac:dyDescent="0.2">
      <c r="B18" s="126"/>
      <c r="C18" s="126"/>
      <c r="D18" s="127"/>
      <c r="E18" s="127"/>
      <c r="F18" s="127"/>
      <c r="G18" s="125"/>
    </row>
    <row r="19" spans="2:7" ht="15" customHeight="1" x14ac:dyDescent="0.2">
      <c r="B19" s="126"/>
      <c r="C19" s="126"/>
      <c r="D19" s="127"/>
      <c r="E19" s="127"/>
      <c r="F19" s="127"/>
      <c r="G19" s="125"/>
    </row>
    <row r="20" spans="2:7" ht="15" customHeight="1" x14ac:dyDescent="0.2">
      <c r="B20" s="126"/>
      <c r="C20" s="126"/>
      <c r="D20" s="127"/>
      <c r="E20" s="127"/>
      <c r="F20" s="127"/>
      <c r="G20" s="125"/>
    </row>
    <row r="21" spans="2:7" ht="15" customHeight="1" x14ac:dyDescent="0.2">
      <c r="B21" s="126"/>
      <c r="C21" s="126"/>
      <c r="D21" s="127"/>
      <c r="E21" s="127"/>
      <c r="F21" s="127"/>
      <c r="G21" s="125"/>
    </row>
    <row r="22" spans="2:7" ht="15" customHeight="1" x14ac:dyDescent="0.2">
      <c r="B22" s="126"/>
      <c r="C22" s="126"/>
      <c r="D22" s="127"/>
      <c r="E22" s="127"/>
      <c r="F22" s="127"/>
      <c r="G22" s="125"/>
    </row>
    <row r="23" spans="2:7" ht="15" customHeight="1" x14ac:dyDescent="0.2">
      <c r="B23" s="126"/>
      <c r="C23" s="126"/>
      <c r="D23" s="127"/>
      <c r="E23" s="127"/>
      <c r="F23" s="127"/>
      <c r="G23" s="125"/>
    </row>
    <row r="24" spans="2:7" ht="15" customHeight="1" x14ac:dyDescent="0.2">
      <c r="B24" s="126"/>
      <c r="C24" s="126"/>
      <c r="D24" s="127"/>
      <c r="E24" s="127"/>
      <c r="F24" s="127"/>
      <c r="G24" s="125"/>
    </row>
    <row r="25" spans="2:7" ht="15" customHeight="1" x14ac:dyDescent="0.2">
      <c r="B25" s="126"/>
      <c r="C25" s="126"/>
      <c r="D25" s="127"/>
      <c r="E25" s="127"/>
      <c r="F25" s="127"/>
      <c r="G25" s="125"/>
    </row>
    <row r="26" spans="2:7" ht="15" customHeight="1" x14ac:dyDescent="0.2">
      <c r="B26" s="57"/>
      <c r="C26" s="128" t="s">
        <v>48</v>
      </c>
      <c r="D26" s="129">
        <f>SUM(D8:D25)</f>
        <v>0</v>
      </c>
      <c r="E26" s="129">
        <f>SUM(E8:E25)</f>
        <v>0</v>
      </c>
      <c r="F26" s="129">
        <f>SUM(F8:F25)</f>
        <v>0</v>
      </c>
      <c r="G26" s="130"/>
    </row>
    <row r="27" spans="2:7" ht="15" customHeight="1" x14ac:dyDescent="0.2">
      <c r="B27" s="57"/>
      <c r="C27" s="131" t="s">
        <v>186</v>
      </c>
      <c r="D27" s="99"/>
      <c r="E27" s="132"/>
      <c r="F27" s="132"/>
      <c r="G27" s="130"/>
    </row>
    <row r="28" spans="2:7" ht="15" customHeight="1" x14ac:dyDescent="0.2">
      <c r="B28" s="57"/>
      <c r="C28" s="128" t="s">
        <v>187</v>
      </c>
      <c r="D28" s="129">
        <f>D26</f>
        <v>0</v>
      </c>
      <c r="E28" s="129">
        <f>SUM(E26-E27)</f>
        <v>0</v>
      </c>
      <c r="F28" s="129">
        <f>SUM(F26-F27)</f>
        <v>0</v>
      </c>
      <c r="G28" s="130"/>
    </row>
    <row r="29" spans="2:7" ht="15" customHeight="1" x14ac:dyDescent="0.2">
      <c r="B29" s="57"/>
      <c r="C29" s="57"/>
      <c r="D29" s="57"/>
      <c r="E29" s="57"/>
      <c r="F29" s="57"/>
      <c r="G29" s="57"/>
    </row>
    <row r="30" spans="2:7" ht="15" customHeight="1" x14ac:dyDescent="0.2">
      <c r="B30" s="57"/>
      <c r="C30" s="57"/>
      <c r="D30" s="57"/>
      <c r="E30" s="57"/>
      <c r="F30" s="57"/>
      <c r="G30" s="57"/>
    </row>
    <row r="31" spans="2:7" ht="15" customHeight="1" x14ac:dyDescent="0.2">
      <c r="B31" s="249" t="s">
        <v>309</v>
      </c>
      <c r="C31" s="250" t="str">
        <f>CONCATENATE("Adjustments are required only if the transfer is being made in ",E7," and/or ",F7," from a non-budgeted fund.")</f>
        <v>Adjustments are required only if the transfer is being made in 2023 and/or 2024 from a non-budgeted fund.</v>
      </c>
      <c r="D31" s="57"/>
      <c r="E31" s="57"/>
      <c r="F31" s="57"/>
      <c r="G31" s="57"/>
    </row>
    <row r="32" spans="2:7" ht="15" customHeight="1" x14ac:dyDescent="0.2"/>
  </sheetData>
  <sheetProtection sheet="1"/>
  <mergeCells count="1">
    <mergeCell ref="B3:G3"/>
  </mergeCells>
  <phoneticPr fontId="8" type="noConversion"/>
  <pageMargins left="0.75" right="0.75" top="1" bottom="1" header="0.5" footer="0.5"/>
  <pageSetup orientation="landscape" blackAndWhite="1" r:id="rId1"/>
  <headerFooter alignWithMargins="0">
    <oddHeader>&amp;RState of Kansas
City</oddHeader>
    <oddFooter>&amp;CPage No. 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8"/>
  <sheetViews>
    <sheetView workbookViewId="0">
      <selection activeCell="E97" sqref="E97"/>
    </sheetView>
  </sheetViews>
  <sheetFormatPr defaultColWidth="8.88671875" defaultRowHeight="15" x14ac:dyDescent="0.2"/>
  <cols>
    <col min="1" max="1" width="70.5546875" style="64" customWidth="1"/>
    <col min="2" max="16384" width="8.88671875" style="64"/>
  </cols>
  <sheetData>
    <row r="1" spans="1:1" ht="18.75" x14ac:dyDescent="0.2">
      <c r="A1" s="302" t="s">
        <v>245</v>
      </c>
    </row>
    <row r="2" spans="1:1" ht="18.75" x14ac:dyDescent="0.2">
      <c r="A2" s="302"/>
    </row>
    <row r="3" spans="1:1" ht="18.75" x14ac:dyDescent="0.2">
      <c r="A3" s="302"/>
    </row>
    <row r="4" spans="1:1" ht="51.75" customHeight="1" x14ac:dyDescent="0.25">
      <c r="A4" s="310" t="s">
        <v>335</v>
      </c>
    </row>
    <row r="5" spans="1:1" ht="18.75" x14ac:dyDescent="0.2">
      <c r="A5" s="302"/>
    </row>
    <row r="6" spans="1:1" ht="15.75" x14ac:dyDescent="0.2">
      <c r="A6" s="24"/>
    </row>
    <row r="7" spans="1:1" ht="47.25" x14ac:dyDescent="0.2">
      <c r="A7" s="303" t="s">
        <v>246</v>
      </c>
    </row>
    <row r="8" spans="1:1" ht="15.75" x14ac:dyDescent="0.2">
      <c r="A8" s="24"/>
    </row>
    <row r="9" spans="1:1" ht="15.75" x14ac:dyDescent="0.2">
      <c r="A9" s="24"/>
    </row>
    <row r="10" spans="1:1" ht="63" x14ac:dyDescent="0.2">
      <c r="A10" s="303" t="s">
        <v>247</v>
      </c>
    </row>
    <row r="11" spans="1:1" ht="15.75" x14ac:dyDescent="0.2">
      <c r="A11" s="304"/>
    </row>
    <row r="12" spans="1:1" ht="15.75" x14ac:dyDescent="0.2">
      <c r="A12" s="24"/>
    </row>
    <row r="13" spans="1:1" ht="47.25" x14ac:dyDescent="0.2">
      <c r="A13" s="303" t="s">
        <v>248</v>
      </c>
    </row>
    <row r="14" spans="1:1" ht="15.75" x14ac:dyDescent="0.2">
      <c r="A14" s="304"/>
    </row>
    <row r="15" spans="1:1" ht="15.75" x14ac:dyDescent="0.2">
      <c r="A15" s="24"/>
    </row>
    <row r="16" spans="1:1" ht="47.25" x14ac:dyDescent="0.2">
      <c r="A16" s="303" t="s">
        <v>249</v>
      </c>
    </row>
    <row r="17" spans="1:1" ht="15.75" x14ac:dyDescent="0.2">
      <c r="A17" s="304"/>
    </row>
    <row r="18" spans="1:1" ht="15.75" x14ac:dyDescent="0.2">
      <c r="A18" s="304"/>
    </row>
    <row r="19" spans="1:1" ht="47.25" x14ac:dyDescent="0.2">
      <c r="A19" s="303" t="s">
        <v>250</v>
      </c>
    </row>
    <row r="20" spans="1:1" ht="15.75" x14ac:dyDescent="0.2">
      <c r="A20" s="304"/>
    </row>
    <row r="21" spans="1:1" ht="15.75" x14ac:dyDescent="0.2">
      <c r="A21" s="304"/>
    </row>
    <row r="22" spans="1:1" ht="47.25" x14ac:dyDescent="0.2">
      <c r="A22" s="303" t="s">
        <v>251</v>
      </c>
    </row>
    <row r="23" spans="1:1" ht="15.75" x14ac:dyDescent="0.2">
      <c r="A23" s="304"/>
    </row>
    <row r="24" spans="1:1" ht="15.75" x14ac:dyDescent="0.2">
      <c r="A24" s="304"/>
    </row>
    <row r="25" spans="1:1" ht="31.5" x14ac:dyDescent="0.2">
      <c r="A25" s="303" t="s">
        <v>252</v>
      </c>
    </row>
    <row r="26" spans="1:1" ht="15.75" x14ac:dyDescent="0.2">
      <c r="A26" s="24"/>
    </row>
    <row r="27" spans="1:1" ht="15.75" x14ac:dyDescent="0.2">
      <c r="A27" s="24"/>
    </row>
    <row r="28" spans="1:1" ht="60" x14ac:dyDescent="0.2">
      <c r="A28" s="305" t="s">
        <v>253</v>
      </c>
    </row>
    <row r="29" spans="1:1" x14ac:dyDescent="0.2">
      <c r="A29" s="306"/>
    </row>
    <row r="30" spans="1:1" x14ac:dyDescent="0.2">
      <c r="A30" s="306"/>
    </row>
    <row r="31" spans="1:1" ht="47.25" x14ac:dyDescent="0.2">
      <c r="A31" s="303" t="s">
        <v>254</v>
      </c>
    </row>
    <row r="32" spans="1:1" ht="15.75" x14ac:dyDescent="0.2">
      <c r="A32" s="24"/>
    </row>
    <row r="33" spans="1:1" ht="15.75" x14ac:dyDescent="0.2">
      <c r="A33" s="24"/>
    </row>
    <row r="34" spans="1:1" ht="66.75" customHeight="1" x14ac:dyDescent="0.25">
      <c r="A34" s="309" t="s">
        <v>336</v>
      </c>
    </row>
    <row r="35" spans="1:1" ht="15.75" x14ac:dyDescent="0.2">
      <c r="A35" s="24"/>
    </row>
    <row r="36" spans="1:1" ht="15.75" x14ac:dyDescent="0.2">
      <c r="A36" s="24"/>
    </row>
    <row r="37" spans="1:1" ht="63" x14ac:dyDescent="0.2">
      <c r="A37" s="307" t="s">
        <v>255</v>
      </c>
    </row>
    <row r="38" spans="1:1" ht="15.75" x14ac:dyDescent="0.2">
      <c r="A38" s="304"/>
    </row>
    <row r="39" spans="1:1" ht="15.75" x14ac:dyDescent="0.2">
      <c r="A39" s="24"/>
    </row>
    <row r="40" spans="1:1" ht="63" x14ac:dyDescent="0.2">
      <c r="A40" s="303" t="s">
        <v>256</v>
      </c>
    </row>
    <row r="41" spans="1:1" ht="15.75" x14ac:dyDescent="0.2">
      <c r="A41" s="304"/>
    </row>
    <row r="42" spans="1:1" ht="15.75" x14ac:dyDescent="0.2">
      <c r="A42" s="304"/>
    </row>
    <row r="43" spans="1:1" ht="82.5" customHeight="1" x14ac:dyDescent="0.25">
      <c r="A43" s="301" t="s">
        <v>337</v>
      </c>
    </row>
    <row r="44" spans="1:1" ht="15.75" x14ac:dyDescent="0.2">
      <c r="A44" s="304"/>
    </row>
    <row r="45" spans="1:1" ht="15.75" x14ac:dyDescent="0.2">
      <c r="A45" s="304"/>
    </row>
    <row r="46" spans="1:1" ht="69" customHeight="1" x14ac:dyDescent="0.25">
      <c r="A46" s="301" t="s">
        <v>338</v>
      </c>
    </row>
    <row r="47" spans="1:1" ht="15.75" x14ac:dyDescent="0.2">
      <c r="A47" s="304"/>
    </row>
    <row r="48" spans="1:1" ht="15.75" x14ac:dyDescent="0.2">
      <c r="A48" s="304"/>
    </row>
    <row r="49" spans="1:1" ht="69" customHeight="1" x14ac:dyDescent="0.25">
      <c r="A49" s="301" t="s">
        <v>339</v>
      </c>
    </row>
    <row r="50" spans="1:1" ht="15.75" x14ac:dyDescent="0.2">
      <c r="A50" s="304"/>
    </row>
    <row r="51" spans="1:1" ht="15.75" x14ac:dyDescent="0.2">
      <c r="A51" s="304"/>
    </row>
    <row r="52" spans="1:1" ht="53.25" customHeight="1" x14ac:dyDescent="0.25">
      <c r="A52" s="301" t="s">
        <v>379</v>
      </c>
    </row>
    <row r="53" spans="1:1" ht="15.75" x14ac:dyDescent="0.2">
      <c r="A53" s="304"/>
    </row>
    <row r="54" spans="1:1" ht="15.75" x14ac:dyDescent="0.2">
      <c r="A54" s="304"/>
    </row>
    <row r="55" spans="1:1" ht="63" x14ac:dyDescent="0.2">
      <c r="A55" s="303" t="s">
        <v>257</v>
      </c>
    </row>
    <row r="56" spans="1:1" ht="15.75" x14ac:dyDescent="0.2">
      <c r="A56" s="304"/>
    </row>
    <row r="57" spans="1:1" ht="15.75" x14ac:dyDescent="0.2">
      <c r="A57" s="304"/>
    </row>
    <row r="58" spans="1:1" ht="63" x14ac:dyDescent="0.2">
      <c r="A58" s="303" t="s">
        <v>258</v>
      </c>
    </row>
    <row r="59" spans="1:1" ht="15.75" x14ac:dyDescent="0.2">
      <c r="A59" s="304"/>
    </row>
    <row r="60" spans="1:1" ht="15.75" x14ac:dyDescent="0.2">
      <c r="A60" s="304"/>
    </row>
    <row r="61" spans="1:1" ht="47.25" x14ac:dyDescent="0.2">
      <c r="A61" s="303" t="s">
        <v>259</v>
      </c>
    </row>
    <row r="62" spans="1:1" ht="15.75" x14ac:dyDescent="0.2">
      <c r="A62" s="304"/>
    </row>
    <row r="63" spans="1:1" ht="15.75" x14ac:dyDescent="0.2">
      <c r="A63" s="304"/>
    </row>
    <row r="64" spans="1:1" ht="47.25" x14ac:dyDescent="0.2">
      <c r="A64" s="303" t="s">
        <v>260</v>
      </c>
    </row>
    <row r="65" spans="1:1" ht="15.75" x14ac:dyDescent="0.2">
      <c r="A65" s="304"/>
    </row>
    <row r="66" spans="1:1" ht="15.75" x14ac:dyDescent="0.2">
      <c r="A66" s="304"/>
    </row>
    <row r="67" spans="1:1" ht="78.75" x14ac:dyDescent="0.2">
      <c r="A67" s="303" t="s">
        <v>261</v>
      </c>
    </row>
    <row r="68" spans="1:1" x14ac:dyDescent="0.2">
      <c r="A68" s="308"/>
    </row>
  </sheetData>
  <sheetProtection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C9DC4551578746BB2D5CB3C7D70B0F" ma:contentTypeVersion="12" ma:contentTypeDescription="Create a new document." ma:contentTypeScope="" ma:versionID="7651c3249043c5a1de3dbca765d0b8ca">
  <xsd:schema xmlns:xsd="http://www.w3.org/2001/XMLSchema" xmlns:xs="http://www.w3.org/2001/XMLSchema" xmlns:p="http://schemas.microsoft.com/office/2006/metadata/properties" xmlns:ns2="1895758b-fcac-4748-aa0a-5720d2d7d486" xmlns:ns3="7e2d0d8f-ac74-4d4c-8884-aff3748a733a" xmlns:ns4="a9343af4-2466-41a9-9238-9dddcc3e6066" xmlns:ns5="eda53aa1-44b3-4cd7-9bce-6d7e34741e47" targetNamespace="http://schemas.microsoft.com/office/2006/metadata/properties" ma:root="true" ma:fieldsID="db0d394f9a5513f0d824e2dca6eb113c" ns2:_="" ns3:_="" ns4:_="" ns5:_="">
    <xsd:import namespace="1895758b-fcac-4748-aa0a-5720d2d7d486"/>
    <xsd:import namespace="7e2d0d8f-ac74-4d4c-8884-aff3748a733a"/>
    <xsd:import namespace="a9343af4-2466-41a9-9238-9dddcc3e6066"/>
    <xsd:import namespace="eda53aa1-44b3-4cd7-9bce-6d7e34741e4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4:SharedWithDetails"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5758b-fcac-4748-aa0a-5720d2d7d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2d0d8f-ac74-4d4c-8884-aff3748a733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343af4-2466-41a9-9238-9dddcc3e6066" elementFormDefault="qualified">
    <xsd:import namespace="http://schemas.microsoft.com/office/2006/documentManagement/types"/>
    <xsd:import namespace="http://schemas.microsoft.com/office/infopath/2007/PartnerControls"/>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a53aa1-44b3-4cd7-9bce-6d7e34741e4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e2891e4-6779-4a5a-9225-82d50eb2cf56}" ma:internalName="TaxCatchAll" ma:showField="CatchAllData" ma:web="eda53aa1-44b3-4cd7-9bce-6d7e34741e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da53aa1-44b3-4cd7-9bce-6d7e34741e47"/>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EB70B4-B46A-4C87-A128-9E12ABFE09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5758b-fcac-4748-aa0a-5720d2d7d486"/>
    <ds:schemaRef ds:uri="7e2d0d8f-ac74-4d4c-8884-aff3748a733a"/>
    <ds:schemaRef ds:uri="a9343af4-2466-41a9-9238-9dddcc3e6066"/>
    <ds:schemaRef ds:uri="eda53aa1-44b3-4cd7-9bce-6d7e34741e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21895E-D76C-4B96-9113-BD89C9374037}">
  <ds:schemaRefs>
    <ds:schemaRef ds:uri="eda53aa1-44b3-4cd7-9bce-6d7e34741e47"/>
    <ds:schemaRef ds:uri="7e2d0d8f-ac74-4d4c-8884-aff3748a733a"/>
    <ds:schemaRef ds:uri="http://purl.org/dc/terms/"/>
    <ds:schemaRef ds:uri="1895758b-fcac-4748-aa0a-5720d2d7d486"/>
    <ds:schemaRef ds:uri="http://schemas.microsoft.com/office/2006/documentManagement/types"/>
    <ds:schemaRef ds:uri="a9343af4-2466-41a9-9238-9dddcc3e6066"/>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FD45244-BECF-4B1E-A16F-507D8ADD24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11</vt:i4>
      </vt:variant>
    </vt:vector>
  </HeadingPairs>
  <TitlesOfParts>
    <vt:vector size="50" baseType="lpstr">
      <vt:lpstr>Instructions</vt:lpstr>
      <vt:lpstr>inputPrYr</vt:lpstr>
      <vt:lpstr>inputOth</vt:lpstr>
      <vt:lpstr>inputHearing</vt:lpstr>
      <vt:lpstr>CPA Summary</vt:lpstr>
      <vt:lpstr>Cert</vt:lpstr>
      <vt:lpstr>Mvalloc</vt:lpstr>
      <vt:lpstr>Transfers</vt:lpstr>
      <vt:lpstr>Transfer Statutes</vt:lpstr>
      <vt:lpstr>Debt</vt:lpstr>
      <vt:lpstr>LP Form</vt:lpstr>
      <vt:lpstr>Library Grant</vt:lpstr>
      <vt:lpstr>General</vt:lpstr>
      <vt:lpstr>General Detail</vt:lpstr>
      <vt:lpstr>DebtSvs-Library</vt:lpstr>
      <vt:lpstr>Employ Benys</vt:lpstr>
      <vt:lpstr>tort</vt:lpstr>
      <vt:lpstr>Spec Hwy</vt:lpstr>
      <vt:lpstr>cemetary</vt:lpstr>
      <vt:lpstr>Combined sales tax</vt:lpstr>
      <vt:lpstr>Community sales tax</vt:lpstr>
      <vt:lpstr>WaterSewer Utility</vt:lpstr>
      <vt:lpstr>Reserve Funds A</vt:lpstr>
      <vt:lpstr>Reserve Funds B</vt:lpstr>
      <vt:lpstr>Non-Bud Fund Statutes</vt:lpstr>
      <vt:lpstr>Summary Budget Hearing Notice</vt:lpstr>
      <vt:lpstr>Combined Rate-Bud Hearing Notic</vt:lpstr>
      <vt:lpstr>RNR Hearing Notice</vt:lpstr>
      <vt:lpstr>NR Rebate</vt:lpstr>
      <vt:lpstr>SAMPLE Notice to County Clerk</vt:lpstr>
      <vt:lpstr>SAMPLE Roll Call to Exceed RNR</vt:lpstr>
      <vt:lpstr>SAMPLE Resolution to Exceed RNR</vt:lpstr>
      <vt:lpstr>Tab A</vt:lpstr>
      <vt:lpstr>Tab B</vt:lpstr>
      <vt:lpstr>Tab C</vt:lpstr>
      <vt:lpstr>Tab D</vt:lpstr>
      <vt:lpstr>Tab E</vt:lpstr>
      <vt:lpstr>Budget Tools</vt:lpstr>
      <vt:lpstr>Legend</vt:lpstr>
      <vt:lpstr>'Combined Rate-Bud Hearing Notic'!Print_Area</vt:lpstr>
      <vt:lpstr>'DebtSvs-Library'!Print_Area</vt:lpstr>
      <vt:lpstr>'Employ Benys'!Print_Area</vt:lpstr>
      <vt:lpstr>General!Print_Area</vt:lpstr>
      <vt:lpstr>inputPrYr!Print_Area</vt:lpstr>
      <vt:lpstr>'Library Grant'!Print_Area</vt:lpstr>
      <vt:lpstr>'LP Form'!Print_Area</vt:lpstr>
      <vt:lpstr>Mvalloc!Print_Area</vt:lpstr>
      <vt:lpstr>'RNR Hearing Notice'!Print_Area</vt:lpstr>
      <vt:lpstr>'Summary Budget Hearing Notice'!Print_Area</vt:lpstr>
      <vt:lpstr>tort!Print_Area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Budget Form - Short</dc:title>
  <dc:creator>Barbara Butts</dc:creator>
  <cp:lastModifiedBy>Tammy</cp:lastModifiedBy>
  <cp:lastPrinted>2023-07-13T00:05:30Z</cp:lastPrinted>
  <dcterms:created xsi:type="dcterms:W3CDTF">1999-08-03T13:11:47Z</dcterms:created>
  <dcterms:modified xsi:type="dcterms:W3CDTF">2023-07-14T20:21:40Z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0x010100DAC9DC4551578746BB2D5CB3C7D70B0F</vt:lpwstr>
  </property>
</Properties>
</file>