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Tammy\Desktop\"/>
    </mc:Choice>
  </mc:AlternateContent>
  <bookViews>
    <workbookView xWindow="0" yWindow="0" windowWidth="28800" windowHeight="12300" tabRatio="909" activeTab="17"/>
  </bookViews>
  <sheets>
    <sheet name="Instructions" sheetId="64" r:id="rId1"/>
    <sheet name="inputPrYr" sheetId="2" r:id="rId2"/>
    <sheet name="inputOth" sheetId="43" r:id="rId3"/>
    <sheet name="inputHearing" sheetId="67" r:id="rId4"/>
    <sheet name="CPA Summary" sheetId="63" r:id="rId5"/>
    <sheet name="Cert" sheetId="3" r:id="rId6"/>
    <sheet name="Mvalloc" sheetId="5" r:id="rId7"/>
    <sheet name="Transfers" sheetId="32" r:id="rId8"/>
    <sheet name="Transfer Statutes" sheetId="45" r:id="rId9"/>
    <sheet name="Debt" sheetId="22" r:id="rId10"/>
    <sheet name="LP Form" sheetId="23" r:id="rId11"/>
    <sheet name="Library Grant" sheetId="57" r:id="rId12"/>
    <sheet name="General" sheetId="7" r:id="rId13"/>
    <sheet name="General Detail" sheetId="9" r:id="rId14"/>
    <sheet name="DebtSvs-Library" sheetId="34" r:id="rId15"/>
    <sheet name="Employ Benys" sheetId="8" r:id="rId16"/>
    <sheet name="tort" sheetId="10" r:id="rId17"/>
    <sheet name="Spec Hwy" sheetId="14" r:id="rId18"/>
    <sheet name="cemetary" sheetId="15" r:id="rId19"/>
    <sheet name="Combined sales tax" sheetId="35" r:id="rId20"/>
    <sheet name="Community sales tax" sheetId="36" r:id="rId21"/>
    <sheet name="WaterSewer Utility" sheetId="37" r:id="rId22"/>
    <sheet name="Reserve Funds A" sheetId="39" r:id="rId23"/>
    <sheet name="Reserve Funds B" sheetId="40" r:id="rId24"/>
    <sheet name="Non-Bud Fund Statutes" sheetId="46" r:id="rId25"/>
    <sheet name="Summary Budget Hearing Notice" sheetId="21" r:id="rId26"/>
    <sheet name="Combined Rate-Bud Hearing Notic" sheetId="70" r:id="rId27"/>
    <sheet name="RNR Hearing Notice" sheetId="71" r:id="rId28"/>
    <sheet name="NR Rebate" sheetId="44" r:id="rId29"/>
    <sheet name="SAMPLE Notice to County Clerk" sheetId="69" r:id="rId30"/>
    <sheet name="SAMPLE Roll Call to Exceed RNR" sheetId="79" r:id="rId31"/>
    <sheet name="SAMPLE Resolution to Exceed RNR" sheetId="68" r:id="rId32"/>
    <sheet name="Tab A" sheetId="72" r:id="rId33"/>
    <sheet name="Tab B" sheetId="73" r:id="rId34"/>
    <sheet name="Tab C" sheetId="74" r:id="rId35"/>
    <sheet name="Tab D" sheetId="75" r:id="rId36"/>
    <sheet name="Tab E" sheetId="76" r:id="rId37"/>
    <sheet name="Budget Tools" sheetId="77" r:id="rId38"/>
    <sheet name="Legend" sheetId="78" r:id="rId39"/>
  </sheets>
  <externalReferences>
    <externalReference r:id="rId40"/>
  </externalReferences>
  <definedNames>
    <definedName name="_xlnm.Print_Area" localSheetId="26">'Combined Rate-Bud Hearing Notic'!$A$1:$H$72</definedName>
    <definedName name="_xlnm.Print_Area" localSheetId="14">'DebtSvs-Library'!$B$1:$E$86</definedName>
    <definedName name="_xlnm.Print_Area" localSheetId="15">'Employ Benys'!$A$1:$E$85</definedName>
    <definedName name="_xlnm.Print_Area" localSheetId="12">General!$B$1:$E$121</definedName>
    <definedName name="_xlnm.Print_Area" localSheetId="1">inputPrYr!$A$1:$E$126</definedName>
    <definedName name="_xlnm.Print_Area" localSheetId="11">'Library Grant'!$A$1:$J$40</definedName>
    <definedName name="_xlnm.Print_Area" localSheetId="10">'LP Form'!$B$1:$I$38</definedName>
    <definedName name="_xlnm.Print_Area" localSheetId="6">Mvalloc!$A$1:$I$35</definedName>
    <definedName name="_xlnm.Print_Area" localSheetId="27">'RNR Hearing Notice'!$A$1:$H$17</definedName>
    <definedName name="_xlnm.Print_Area" localSheetId="25">'Summary Budget Hearing Notice'!$A$1:$H$72</definedName>
    <definedName name="_xlnm.Print_Area" localSheetId="16">tort!$B$1:$E$85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9" l="1"/>
  <c r="D39" i="9"/>
  <c r="E93" i="7"/>
  <c r="C30" i="7" l="1"/>
  <c r="B9" i="9"/>
  <c r="B45" i="9"/>
  <c r="C90" i="7"/>
  <c r="A7" i="76" l="1"/>
  <c r="A6" i="76"/>
  <c r="A35" i="75"/>
  <c r="A31" i="75"/>
  <c r="A5" i="75"/>
  <c r="A30" i="74"/>
  <c r="A26" i="74"/>
  <c r="A15" i="74"/>
  <c r="A7" i="74"/>
  <c r="A6" i="74"/>
  <c r="A29" i="73"/>
  <c r="A28" i="73"/>
  <c r="A5" i="73"/>
  <c r="A59" i="72"/>
  <c r="A58" i="72"/>
  <c r="A56" i="72"/>
  <c r="A27" i="72"/>
  <c r="A23" i="72"/>
  <c r="A20" i="72"/>
  <c r="A14" i="72"/>
  <c r="A6" i="72"/>
  <c r="A5" i="72"/>
  <c r="F22" i="3"/>
  <c r="F23" i="3"/>
  <c r="F24" i="3"/>
  <c r="F25" i="3"/>
  <c r="F26" i="3"/>
  <c r="F27" i="3"/>
  <c r="F28" i="3"/>
  <c r="F29" i="3"/>
  <c r="F30" i="3"/>
  <c r="F31" i="3"/>
  <c r="F21" i="3"/>
  <c r="F20" i="3"/>
  <c r="F19" i="3"/>
  <c r="F56" i="3" l="1"/>
  <c r="C43" i="3"/>
  <c r="C37" i="3"/>
  <c r="C36" i="3"/>
  <c r="C35" i="3"/>
  <c r="F63" i="3" l="1"/>
  <c r="B70" i="70"/>
  <c r="A69" i="70"/>
  <c r="C60" i="3"/>
  <c r="C59" i="3"/>
  <c r="C58" i="3"/>
  <c r="C57" i="3"/>
  <c r="A10" i="71"/>
  <c r="A6" i="71"/>
  <c r="A5" i="71"/>
  <c r="A7" i="70"/>
  <c r="A5" i="70"/>
  <c r="D64" i="70"/>
  <c r="B64" i="70"/>
  <c r="D63" i="70"/>
  <c r="B63" i="70"/>
  <c r="D62" i="70"/>
  <c r="B62" i="70"/>
  <c r="D61" i="70"/>
  <c r="B61" i="70"/>
  <c r="F58" i="70"/>
  <c r="M62" i="70" s="1"/>
  <c r="D58" i="70"/>
  <c r="B58" i="70"/>
  <c r="B56" i="70"/>
  <c r="H53" i="70"/>
  <c r="A51" i="70"/>
  <c r="A50" i="70"/>
  <c r="A49" i="70"/>
  <c r="A48" i="70"/>
  <c r="A47" i="70"/>
  <c r="A46" i="70"/>
  <c r="A45" i="70"/>
  <c r="A44" i="70"/>
  <c r="A43" i="70"/>
  <c r="A42" i="70"/>
  <c r="A41" i="70"/>
  <c r="A40" i="70"/>
  <c r="A39" i="70"/>
  <c r="A38" i="70"/>
  <c r="A37" i="70"/>
  <c r="A36" i="70"/>
  <c r="A35" i="70"/>
  <c r="A34" i="70"/>
  <c r="A33" i="70"/>
  <c r="A32" i="70"/>
  <c r="A31" i="70"/>
  <c r="A30" i="70"/>
  <c r="A29" i="70"/>
  <c r="A28" i="70"/>
  <c r="E27" i="70"/>
  <c r="C27" i="70"/>
  <c r="A27" i="70"/>
  <c r="E26" i="70"/>
  <c r="C26" i="70"/>
  <c r="A26" i="70"/>
  <c r="E25" i="70"/>
  <c r="C25" i="70"/>
  <c r="A25" i="70"/>
  <c r="E24" i="70"/>
  <c r="C24" i="70"/>
  <c r="A24" i="70"/>
  <c r="E23" i="70"/>
  <c r="C23" i="70"/>
  <c r="A23" i="70"/>
  <c r="E22" i="70"/>
  <c r="C22" i="70"/>
  <c r="A22" i="70"/>
  <c r="E21" i="70"/>
  <c r="C21" i="70"/>
  <c r="A21" i="70"/>
  <c r="E20" i="70"/>
  <c r="C20" i="70"/>
  <c r="A20" i="70"/>
  <c r="E19" i="70"/>
  <c r="C19" i="70"/>
  <c r="A19" i="70"/>
  <c r="E18" i="70"/>
  <c r="C18" i="70"/>
  <c r="A18" i="70"/>
  <c r="E17" i="70"/>
  <c r="C17" i="70"/>
  <c r="A17" i="70"/>
  <c r="E16" i="70"/>
  <c r="C16" i="70"/>
  <c r="A16" i="70"/>
  <c r="E15" i="70"/>
  <c r="C15" i="70"/>
  <c r="A15" i="70"/>
  <c r="A4" i="70"/>
  <c r="H2" i="70"/>
  <c r="J54" i="34"/>
  <c r="J55" i="34"/>
  <c r="J56" i="34"/>
  <c r="G104" i="7"/>
  <c r="G30" i="34"/>
  <c r="G72" i="34"/>
  <c r="G29" i="8"/>
  <c r="G71" i="8"/>
  <c r="G30" i="10"/>
  <c r="G72" i="10"/>
  <c r="M43" i="70" l="1"/>
  <c r="J62" i="70"/>
  <c r="H1" i="71"/>
  <c r="B65" i="70"/>
  <c r="C52" i="70"/>
  <c r="E52" i="70"/>
  <c r="M47" i="70" s="1"/>
  <c r="M55" i="70" s="1"/>
  <c r="D65" i="70"/>
  <c r="J41" i="70"/>
  <c r="J52" i="70"/>
  <c r="J45" i="70"/>
  <c r="J47" i="70"/>
  <c r="J55" i="70"/>
  <c r="B60" i="70"/>
  <c r="J61" i="70"/>
  <c r="A9" i="70"/>
  <c r="B12" i="70"/>
  <c r="D60" i="70"/>
  <c r="J63" i="70"/>
  <c r="D12" i="70"/>
  <c r="F60" i="70"/>
  <c r="F12" i="70"/>
  <c r="J54" i="70"/>
  <c r="J60" i="70"/>
  <c r="G13" i="70"/>
  <c r="J48" i="70"/>
  <c r="B70" i="21"/>
  <c r="A69" i="21"/>
  <c r="A7" i="21"/>
  <c r="A5" i="21"/>
  <c r="G9" i="23"/>
  <c r="C57" i="7"/>
  <c r="C121" i="7" s="1"/>
  <c r="H53" i="21"/>
  <c r="A37" i="3"/>
  <c r="A36" i="3"/>
  <c r="A35" i="3"/>
  <c r="A43" i="3"/>
  <c r="E18" i="44"/>
  <c r="E17" i="44"/>
  <c r="E16" i="44"/>
  <c r="E15" i="44"/>
  <c r="E14" i="44"/>
  <c r="E13" i="44"/>
  <c r="E12" i="44"/>
  <c r="E57" i="10" s="1"/>
  <c r="E11" i="44"/>
  <c r="E18" i="10" s="1"/>
  <c r="E10" i="44"/>
  <c r="E57" i="8" s="1"/>
  <c r="E9" i="44"/>
  <c r="E17" i="8" s="1"/>
  <c r="E8" i="44"/>
  <c r="E58" i="34" s="1"/>
  <c r="E7" i="44"/>
  <c r="E18" i="34" s="1"/>
  <c r="E6" i="44"/>
  <c r="E51" i="7" s="1"/>
  <c r="H26" i="5"/>
  <c r="G25" i="5"/>
  <c r="D47" i="34"/>
  <c r="E15" i="57" s="1"/>
  <c r="E19" i="57"/>
  <c r="E18" i="57"/>
  <c r="E17" i="57"/>
  <c r="G16" i="57"/>
  <c r="E16" i="57"/>
  <c r="D56" i="2"/>
  <c r="J14" i="10"/>
  <c r="J13" i="10"/>
  <c r="J13" i="8"/>
  <c r="J12" i="8"/>
  <c r="J14" i="34"/>
  <c r="J13" i="34"/>
  <c r="J12" i="10"/>
  <c r="J54" i="10"/>
  <c r="J11" i="8"/>
  <c r="J53" i="8"/>
  <c r="J12" i="34"/>
  <c r="J86" i="7"/>
  <c r="C17" i="3"/>
  <c r="A17" i="3"/>
  <c r="B67" i="9"/>
  <c r="J88" i="7"/>
  <c r="B8" i="57"/>
  <c r="B7" i="57"/>
  <c r="B5" i="57"/>
  <c r="B18" i="44"/>
  <c r="B17" i="44"/>
  <c r="B16" i="44"/>
  <c r="B15" i="44"/>
  <c r="B14" i="44"/>
  <c r="B13" i="44"/>
  <c r="B12" i="44"/>
  <c r="B11" i="44"/>
  <c r="B10" i="44"/>
  <c r="B9" i="44"/>
  <c r="B8" i="44"/>
  <c r="D72" i="9"/>
  <c r="C72" i="9"/>
  <c r="B72" i="9"/>
  <c r="D74" i="10"/>
  <c r="D99" i="10" s="1"/>
  <c r="D35" i="10"/>
  <c r="D97" i="10" s="1"/>
  <c r="D74" i="8"/>
  <c r="D100" i="8" s="1"/>
  <c r="D34" i="8"/>
  <c r="D98" i="8" s="1"/>
  <c r="C47" i="3"/>
  <c r="C46" i="3"/>
  <c r="C45" i="3"/>
  <c r="C44" i="3"/>
  <c r="A46" i="3"/>
  <c r="A45" i="3"/>
  <c r="A44" i="3"/>
  <c r="D75" i="34"/>
  <c r="B44" i="10"/>
  <c r="B5" i="10"/>
  <c r="B43" i="8"/>
  <c r="B5" i="8"/>
  <c r="B44" i="34"/>
  <c r="G14" i="57"/>
  <c r="E14" i="57"/>
  <c r="B47" i="57" s="1"/>
  <c r="B31" i="3"/>
  <c r="B30" i="3"/>
  <c r="B29" i="3"/>
  <c r="B28" i="3"/>
  <c r="B27" i="3"/>
  <c r="B26" i="3"/>
  <c r="B25" i="3"/>
  <c r="B24" i="3"/>
  <c r="B23" i="3"/>
  <c r="B22" i="3"/>
  <c r="B21" i="3"/>
  <c r="A31" i="3"/>
  <c r="A30" i="3"/>
  <c r="A29" i="3"/>
  <c r="A28" i="3"/>
  <c r="A27" i="3"/>
  <c r="A26" i="3"/>
  <c r="A25" i="3"/>
  <c r="A24" i="3"/>
  <c r="A23" i="3"/>
  <c r="A22" i="3"/>
  <c r="A21" i="3"/>
  <c r="C19" i="5"/>
  <c r="C18" i="5"/>
  <c r="C17" i="5"/>
  <c r="C16" i="5"/>
  <c r="C15" i="5"/>
  <c r="C14" i="5"/>
  <c r="C13" i="5"/>
  <c r="C12" i="5"/>
  <c r="C11" i="5"/>
  <c r="C10" i="5"/>
  <c r="C9" i="5"/>
  <c r="B19" i="5"/>
  <c r="B18" i="5"/>
  <c r="B17" i="5"/>
  <c r="B16" i="5"/>
  <c r="B15" i="5"/>
  <c r="B14" i="5"/>
  <c r="B13" i="5"/>
  <c r="B12" i="5"/>
  <c r="B11" i="5"/>
  <c r="B10" i="5"/>
  <c r="B9" i="5"/>
  <c r="A27" i="21"/>
  <c r="A26" i="21"/>
  <c r="A25" i="21"/>
  <c r="A24" i="21"/>
  <c r="A23" i="21"/>
  <c r="A22" i="21"/>
  <c r="A21" i="21"/>
  <c r="A20" i="21"/>
  <c r="A19" i="21"/>
  <c r="A18" i="21"/>
  <c r="A17" i="21"/>
  <c r="A77" i="43"/>
  <c r="A76" i="43"/>
  <c r="A75" i="43"/>
  <c r="A74" i="43"/>
  <c r="A73" i="43"/>
  <c r="A72" i="43"/>
  <c r="A71" i="43"/>
  <c r="A70" i="43"/>
  <c r="A69" i="43"/>
  <c r="A68" i="43"/>
  <c r="A67" i="43"/>
  <c r="A36" i="43"/>
  <c r="A35" i="43"/>
  <c r="A34" i="43"/>
  <c r="A33" i="43"/>
  <c r="A32" i="43"/>
  <c r="A31" i="43"/>
  <c r="A30" i="43"/>
  <c r="A29" i="43"/>
  <c r="A28" i="43"/>
  <c r="A27" i="43"/>
  <c r="A26" i="43"/>
  <c r="B97" i="2"/>
  <c r="B96" i="2"/>
  <c r="B95" i="2"/>
  <c r="B94" i="2"/>
  <c r="B93" i="2"/>
  <c r="B92" i="2"/>
  <c r="B91" i="2"/>
  <c r="B90" i="2"/>
  <c r="B89" i="2"/>
  <c r="B88" i="2"/>
  <c r="B87" i="2"/>
  <c r="G35" i="2"/>
  <c r="G34" i="2"/>
  <c r="G33" i="2"/>
  <c r="G32" i="2"/>
  <c r="G31" i="2"/>
  <c r="G30" i="2"/>
  <c r="G29" i="2"/>
  <c r="D47" i="10"/>
  <c r="D60" i="10" s="1"/>
  <c r="D59" i="10" s="1"/>
  <c r="G28" i="2"/>
  <c r="D8" i="10"/>
  <c r="D21" i="10" s="1"/>
  <c r="G27" i="2"/>
  <c r="D46" i="8"/>
  <c r="D60" i="8" s="1"/>
  <c r="D59" i="8" s="1"/>
  <c r="G26" i="2"/>
  <c r="D8" i="8"/>
  <c r="D20" i="8" s="1"/>
  <c r="D19" i="8" s="1"/>
  <c r="G24" i="2"/>
  <c r="G23" i="2"/>
  <c r="D8" i="34"/>
  <c r="D21" i="34" s="1"/>
  <c r="D20" i="34" s="1"/>
  <c r="G22" i="2"/>
  <c r="D9" i="7"/>
  <c r="D54" i="7" s="1"/>
  <c r="D53" i="7" s="1"/>
  <c r="C19" i="44"/>
  <c r="E27" i="21"/>
  <c r="C27" i="21"/>
  <c r="D64" i="21"/>
  <c r="B64" i="21"/>
  <c r="D63" i="21"/>
  <c r="B63" i="21"/>
  <c r="D62" i="21"/>
  <c r="B62" i="21"/>
  <c r="D61" i="21"/>
  <c r="B61" i="21"/>
  <c r="F58" i="21"/>
  <c r="G27" i="57" s="1"/>
  <c r="D58" i="21"/>
  <c r="E27" i="57" s="1"/>
  <c r="B58" i="21"/>
  <c r="B56" i="21"/>
  <c r="C74" i="8"/>
  <c r="C100" i="8" s="1"/>
  <c r="C35" i="10"/>
  <c r="C74" i="10"/>
  <c r="C99" i="10" s="1"/>
  <c r="C34" i="8"/>
  <c r="C75" i="34"/>
  <c r="C31" i="3"/>
  <c r="C30" i="3"/>
  <c r="C29" i="3"/>
  <c r="C28" i="3"/>
  <c r="C27" i="3"/>
  <c r="C26" i="3"/>
  <c r="C25" i="3"/>
  <c r="C21" i="3"/>
  <c r="C23" i="3"/>
  <c r="C22" i="3"/>
  <c r="C24" i="3"/>
  <c r="E32" i="2"/>
  <c r="D56" i="70" s="1"/>
  <c r="D73" i="34"/>
  <c r="D17" i="70" s="1"/>
  <c r="C73" i="34"/>
  <c r="C61" i="34"/>
  <c r="D33" i="34"/>
  <c r="C33" i="34"/>
  <c r="C21" i="34"/>
  <c r="C20" i="34" s="1"/>
  <c r="C35" i="34"/>
  <c r="D35" i="34"/>
  <c r="C20" i="3"/>
  <c r="D18" i="44"/>
  <c r="B1" i="34"/>
  <c r="E1" i="34"/>
  <c r="D37" i="43"/>
  <c r="D98" i="2"/>
  <c r="C110" i="7"/>
  <c r="D110" i="7"/>
  <c r="D78" i="10"/>
  <c r="D39" i="10"/>
  <c r="D78" i="8"/>
  <c r="D38" i="8"/>
  <c r="D39" i="34"/>
  <c r="D79" i="34"/>
  <c r="D114" i="7"/>
  <c r="A42" i="21"/>
  <c r="A41" i="21"/>
  <c r="A40" i="21"/>
  <c r="A39" i="21"/>
  <c r="D43" i="70"/>
  <c r="B43" i="70"/>
  <c r="D42" i="70"/>
  <c r="B42" i="70"/>
  <c r="F41" i="70"/>
  <c r="D40" i="70"/>
  <c r="B40" i="70"/>
  <c r="B40" i="21"/>
  <c r="A93" i="43"/>
  <c r="A92" i="43"/>
  <c r="A91" i="43"/>
  <c r="A90" i="43"/>
  <c r="A89" i="43"/>
  <c r="B79" i="7"/>
  <c r="B80" i="7"/>
  <c r="B81" i="7"/>
  <c r="B78" i="7"/>
  <c r="B77" i="7"/>
  <c r="B76" i="7"/>
  <c r="B75" i="7"/>
  <c r="B74" i="7"/>
  <c r="D129" i="9"/>
  <c r="E81" i="7" s="1"/>
  <c r="C129" i="9"/>
  <c r="D81" i="7" s="1"/>
  <c r="B129" i="9"/>
  <c r="C81" i="7" s="1"/>
  <c r="D122" i="9"/>
  <c r="E80" i="7" s="1"/>
  <c r="C122" i="9"/>
  <c r="D80" i="7" s="1"/>
  <c r="B122" i="9"/>
  <c r="C80" i="7" s="1"/>
  <c r="D115" i="9"/>
  <c r="E79" i="7" s="1"/>
  <c r="C115" i="9"/>
  <c r="D79" i="7" s="1"/>
  <c r="B115" i="9"/>
  <c r="C79" i="7" s="1"/>
  <c r="D108" i="9"/>
  <c r="E78" i="7" s="1"/>
  <c r="C108" i="9"/>
  <c r="D78" i="7" s="1"/>
  <c r="B108" i="9"/>
  <c r="C78" i="7" s="1"/>
  <c r="D101" i="9"/>
  <c r="E77" i="7" s="1"/>
  <c r="C101" i="9"/>
  <c r="D77" i="7" s="1"/>
  <c r="B101" i="9"/>
  <c r="D95" i="9"/>
  <c r="E76" i="7" s="1"/>
  <c r="C95" i="9"/>
  <c r="D76" i="7" s="1"/>
  <c r="B95" i="9"/>
  <c r="C76" i="7" s="1"/>
  <c r="D88" i="9"/>
  <c r="E75" i="7"/>
  <c r="C88" i="9"/>
  <c r="D75" i="7" s="1"/>
  <c r="B88" i="9"/>
  <c r="C75" i="7" s="1"/>
  <c r="D81" i="9"/>
  <c r="E74" i="7" s="1"/>
  <c r="C81" i="9"/>
  <c r="D74" i="7" s="1"/>
  <c r="B81" i="9"/>
  <c r="C74" i="7" s="1"/>
  <c r="D22" i="44"/>
  <c r="D24" i="44" s="1"/>
  <c r="A101" i="2"/>
  <c r="A100" i="2"/>
  <c r="D83" i="2"/>
  <c r="C26" i="14"/>
  <c r="B28" i="70" s="1"/>
  <c r="C15" i="14"/>
  <c r="C16" i="14" s="1"/>
  <c r="C27" i="14" s="1"/>
  <c r="D26" i="14"/>
  <c r="D28" i="70" s="1"/>
  <c r="E26" i="14"/>
  <c r="F28" i="70" s="1"/>
  <c r="C28" i="14"/>
  <c r="D28" i="14"/>
  <c r="C57" i="14"/>
  <c r="B29" i="70" s="1"/>
  <c r="D57" i="14"/>
  <c r="E57" i="14"/>
  <c r="F29" i="70" s="1"/>
  <c r="C59" i="14"/>
  <c r="D59" i="14"/>
  <c r="C28" i="15"/>
  <c r="B30" i="70" s="1"/>
  <c r="D28" i="15"/>
  <c r="D30" i="70" s="1"/>
  <c r="E28" i="15"/>
  <c r="F30" i="70" s="1"/>
  <c r="C30" i="15"/>
  <c r="D30" i="15"/>
  <c r="C57" i="15"/>
  <c r="B31" i="70" s="1"/>
  <c r="D57" i="15"/>
  <c r="D31" i="21" s="1"/>
  <c r="E57" i="15"/>
  <c r="E56" i="15" s="1"/>
  <c r="C59" i="15"/>
  <c r="C60" i="15" s="1"/>
  <c r="D59" i="15"/>
  <c r="D32" i="70"/>
  <c r="F32" i="70"/>
  <c r="B33" i="70"/>
  <c r="D33" i="70"/>
  <c r="B34" i="21"/>
  <c r="D34" i="70"/>
  <c r="F34" i="70"/>
  <c r="B35" i="70"/>
  <c r="D35" i="70"/>
  <c r="F35" i="70"/>
  <c r="B36" i="70"/>
  <c r="F36" i="70"/>
  <c r="B37" i="70"/>
  <c r="D37" i="70"/>
  <c r="F37" i="70"/>
  <c r="F38" i="70"/>
  <c r="B39" i="70"/>
  <c r="D39" i="70"/>
  <c r="F39" i="21"/>
  <c r="C44" i="35"/>
  <c r="B44" i="70" s="1"/>
  <c r="D44" i="35"/>
  <c r="D44" i="70" s="1"/>
  <c r="E44" i="35"/>
  <c r="F44" i="70" s="1"/>
  <c r="D46" i="35"/>
  <c r="C46" i="35"/>
  <c r="C47" i="35" s="1"/>
  <c r="C44" i="36"/>
  <c r="C43" i="36" s="1"/>
  <c r="D44" i="36"/>
  <c r="D45" i="70" s="1"/>
  <c r="E44" i="36"/>
  <c r="F45" i="70" s="1"/>
  <c r="C46" i="36"/>
  <c r="D46" i="36"/>
  <c r="C44" i="37"/>
  <c r="B46" i="70" s="1"/>
  <c r="D44" i="37"/>
  <c r="D46" i="21" s="1"/>
  <c r="E44" i="37"/>
  <c r="F46" i="70" s="1"/>
  <c r="D46" i="37"/>
  <c r="C46" i="37"/>
  <c r="B47" i="70"/>
  <c r="D47" i="70"/>
  <c r="D63" i="9"/>
  <c r="E73" i="7" s="1"/>
  <c r="D56" i="9"/>
  <c r="E72" i="7" s="1"/>
  <c r="D49" i="9"/>
  <c r="D42" i="9"/>
  <c r="E70" i="7" s="1"/>
  <c r="D35" i="9"/>
  <c r="E69" i="7" s="1"/>
  <c r="D29" i="9"/>
  <c r="E68" i="7" s="1"/>
  <c r="C63" i="9"/>
  <c r="D73" i="7" s="1"/>
  <c r="C56" i="9"/>
  <c r="D72" i="7" s="1"/>
  <c r="C49" i="9"/>
  <c r="D71" i="7" s="1"/>
  <c r="C42" i="9"/>
  <c r="D70" i="7" s="1"/>
  <c r="C35" i="9"/>
  <c r="D69" i="7" s="1"/>
  <c r="C29" i="9"/>
  <c r="D68" i="7" s="1"/>
  <c r="D22" i="9"/>
  <c r="E67" i="7" s="1"/>
  <c r="C15" i="9"/>
  <c r="D66" i="7" s="1"/>
  <c r="C22" i="9"/>
  <c r="D67" i="7" s="1"/>
  <c r="B63" i="9"/>
  <c r="C73" i="7" s="1"/>
  <c r="B56" i="9"/>
  <c r="C72" i="7" s="1"/>
  <c r="B49" i="9"/>
  <c r="C71" i="7" s="1"/>
  <c r="B42" i="9"/>
  <c r="C70" i="7" s="1"/>
  <c r="B35" i="9"/>
  <c r="C69" i="7" s="1"/>
  <c r="B29" i="9"/>
  <c r="C68" i="7" s="1"/>
  <c r="B22" i="9"/>
  <c r="C67" i="7" s="1"/>
  <c r="D15" i="9"/>
  <c r="E66" i="7" s="1"/>
  <c r="B15" i="9"/>
  <c r="C66" i="7" s="1"/>
  <c r="B72" i="7"/>
  <c r="B73" i="7"/>
  <c r="B71" i="7"/>
  <c r="B70" i="7"/>
  <c r="B69" i="7"/>
  <c r="B68" i="7"/>
  <c r="B67" i="7"/>
  <c r="B66" i="7"/>
  <c r="D33" i="10"/>
  <c r="D20" i="21" s="1"/>
  <c r="D72" i="10"/>
  <c r="D32" i="8"/>
  <c r="D18" i="70" s="1"/>
  <c r="D72" i="8"/>
  <c r="C7" i="5"/>
  <c r="C8" i="5"/>
  <c r="D26" i="70"/>
  <c r="D25" i="70"/>
  <c r="B24" i="70"/>
  <c r="B22" i="70"/>
  <c r="C72" i="10"/>
  <c r="C60" i="10"/>
  <c r="C59" i="10" s="1"/>
  <c r="C33" i="10"/>
  <c r="C21" i="10"/>
  <c r="C20" i="10" s="1"/>
  <c r="C72" i="8"/>
  <c r="B19" i="70" s="1"/>
  <c r="C60" i="8"/>
  <c r="C61" i="8" s="1"/>
  <c r="C32" i="8"/>
  <c r="C31" i="8" s="1"/>
  <c r="C20" i="8"/>
  <c r="C19" i="8" s="1"/>
  <c r="C54" i="7"/>
  <c r="C55" i="7" s="1"/>
  <c r="C64" i="7" s="1"/>
  <c r="E1" i="10"/>
  <c r="E1" i="8"/>
  <c r="D5" i="8" s="1"/>
  <c r="E1" i="7"/>
  <c r="C6" i="7" s="1"/>
  <c r="E1" i="14"/>
  <c r="D34" i="14" s="1"/>
  <c r="E1" i="15"/>
  <c r="C36" i="15" s="1"/>
  <c r="E1" i="37"/>
  <c r="E5" i="37" s="1"/>
  <c r="F1" i="44"/>
  <c r="B3" i="44" s="1"/>
  <c r="E16" i="2"/>
  <c r="G21" i="2" s="1"/>
  <c r="D16" i="2"/>
  <c r="A56" i="2"/>
  <c r="J28" i="40"/>
  <c r="J17" i="40"/>
  <c r="J18" i="40" s="1"/>
  <c r="H28" i="40"/>
  <c r="H17" i="40"/>
  <c r="H18" i="40"/>
  <c r="F17" i="40"/>
  <c r="F18" i="40" s="1"/>
  <c r="F28" i="40"/>
  <c r="D17" i="40"/>
  <c r="D18" i="40" s="1"/>
  <c r="D28" i="40"/>
  <c r="B17" i="40"/>
  <c r="B28" i="40"/>
  <c r="J17" i="39"/>
  <c r="J18" i="39" s="1"/>
  <c r="J28" i="39"/>
  <c r="H17" i="39"/>
  <c r="H18" i="39" s="1"/>
  <c r="H28" i="39"/>
  <c r="F17" i="39"/>
  <c r="F18" i="39" s="1"/>
  <c r="F28" i="39"/>
  <c r="D17" i="39"/>
  <c r="D18" i="39" s="1"/>
  <c r="D28" i="39"/>
  <c r="B28" i="39"/>
  <c r="B17" i="39"/>
  <c r="B18" i="39" s="1"/>
  <c r="B29" i="39" s="1"/>
  <c r="B30" i="39" s="1"/>
  <c r="K1" i="40"/>
  <c r="F2" i="40" s="1"/>
  <c r="K1" i="39"/>
  <c r="F2" i="39" s="1"/>
  <c r="H2" i="21"/>
  <c r="J62" i="21" s="1"/>
  <c r="E1" i="43"/>
  <c r="A56" i="43" s="1"/>
  <c r="E9" i="14"/>
  <c r="D9" i="14"/>
  <c r="D22" i="5"/>
  <c r="E23" i="5"/>
  <c r="F24" i="5"/>
  <c r="E17" i="7"/>
  <c r="E18" i="7"/>
  <c r="E16" i="7"/>
  <c r="D6" i="44"/>
  <c r="D7" i="44"/>
  <c r="E33" i="34"/>
  <c r="D8" i="44"/>
  <c r="E73" i="34"/>
  <c r="D9" i="44"/>
  <c r="E32" i="8"/>
  <c r="E31" i="8" s="1"/>
  <c r="D10" i="44"/>
  <c r="E72" i="8"/>
  <c r="F19" i="70" s="1"/>
  <c r="D11" i="44"/>
  <c r="E33" i="10"/>
  <c r="D12" i="44"/>
  <c r="E72" i="10"/>
  <c r="D13" i="44"/>
  <c r="D14" i="44"/>
  <c r="F23" i="70"/>
  <c r="D15" i="44"/>
  <c r="D28" i="3"/>
  <c r="D17" i="44"/>
  <c r="D16" i="44"/>
  <c r="A1" i="44"/>
  <c r="B7" i="44"/>
  <c r="B6" i="44"/>
  <c r="E44" i="14"/>
  <c r="E43" i="14" s="1"/>
  <c r="D44" i="14"/>
  <c r="D43" i="14" s="1"/>
  <c r="C44" i="14"/>
  <c r="C45" i="14" s="1"/>
  <c r="E18" i="37"/>
  <c r="E17" i="37" s="1"/>
  <c r="D18" i="37"/>
  <c r="D17" i="37" s="1"/>
  <c r="C18" i="37"/>
  <c r="C17" i="37" s="1"/>
  <c r="E18" i="36"/>
  <c r="E17" i="36" s="1"/>
  <c r="D18" i="36"/>
  <c r="D17" i="36" s="1"/>
  <c r="C18" i="36"/>
  <c r="C17" i="36" s="1"/>
  <c r="C19" i="36"/>
  <c r="C45" i="36" s="1"/>
  <c r="E17" i="35"/>
  <c r="E16" i="35" s="1"/>
  <c r="D17" i="35"/>
  <c r="D16" i="35" s="1"/>
  <c r="C17" i="35"/>
  <c r="C43" i="35"/>
  <c r="E15" i="15"/>
  <c r="E14" i="15" s="1"/>
  <c r="D15" i="15"/>
  <c r="D14" i="15" s="1"/>
  <c r="C15" i="15"/>
  <c r="C14" i="15" s="1"/>
  <c r="E46" i="15"/>
  <c r="E45" i="15"/>
  <c r="D46" i="15"/>
  <c r="D45" i="15" s="1"/>
  <c r="C46" i="15"/>
  <c r="C47" i="15" s="1"/>
  <c r="C58" i="15" s="1"/>
  <c r="D37" i="15" s="1"/>
  <c r="D47" i="15" s="1"/>
  <c r="C56" i="15"/>
  <c r="E8" i="14"/>
  <c r="D8" i="14"/>
  <c r="D26" i="44"/>
  <c r="D28" i="44"/>
  <c r="E1" i="35"/>
  <c r="B46" i="35" s="1"/>
  <c r="E1" i="36"/>
  <c r="E5" i="36" s="1"/>
  <c r="A97" i="43"/>
  <c r="A96" i="43"/>
  <c r="A95" i="43"/>
  <c r="A94" i="43"/>
  <c r="A88" i="43"/>
  <c r="A87" i="43"/>
  <c r="A86" i="43"/>
  <c r="A85" i="43"/>
  <c r="A84" i="43"/>
  <c r="A83" i="43"/>
  <c r="A82" i="43"/>
  <c r="A81" i="43"/>
  <c r="A80" i="43"/>
  <c r="A79" i="43"/>
  <c r="A78" i="43"/>
  <c r="A66" i="43"/>
  <c r="A65" i="43"/>
  <c r="C26" i="21"/>
  <c r="C25" i="21"/>
  <c r="C24" i="21"/>
  <c r="C23" i="21"/>
  <c r="C22" i="21"/>
  <c r="C21" i="21"/>
  <c r="C20" i="21"/>
  <c r="C19" i="21"/>
  <c r="C18" i="21"/>
  <c r="C17" i="21"/>
  <c r="I1" i="5"/>
  <c r="C6" i="5" s="1"/>
  <c r="D26" i="32"/>
  <c r="B54" i="70" s="1"/>
  <c r="A55" i="3"/>
  <c r="A54" i="3"/>
  <c r="A53" i="3"/>
  <c r="A52" i="3"/>
  <c r="A51" i="21"/>
  <c r="A50" i="21"/>
  <c r="A49" i="21"/>
  <c r="A48" i="21"/>
  <c r="M1" i="22"/>
  <c r="G7" i="22" s="1"/>
  <c r="D104" i="2"/>
  <c r="E104" i="2"/>
  <c r="A14" i="2"/>
  <c r="A103" i="2"/>
  <c r="A1" i="40"/>
  <c r="A1" i="39"/>
  <c r="B1" i="22"/>
  <c r="A32" i="2"/>
  <c r="F26" i="32"/>
  <c r="E26" i="32"/>
  <c r="G42" i="22"/>
  <c r="G32" i="22"/>
  <c r="G20" i="22"/>
  <c r="E26" i="21"/>
  <c r="E25" i="21"/>
  <c r="E24" i="21"/>
  <c r="E23" i="21"/>
  <c r="E22" i="21"/>
  <c r="E21" i="21"/>
  <c r="G71" i="10" s="1"/>
  <c r="E20" i="21"/>
  <c r="E19" i="21"/>
  <c r="G29" i="10" s="1"/>
  <c r="E18" i="21"/>
  <c r="G70" i="8" s="1"/>
  <c r="E17" i="21"/>
  <c r="G71" i="34" s="1"/>
  <c r="E16" i="21"/>
  <c r="G29" i="34" s="1"/>
  <c r="E15" i="21"/>
  <c r="G103" i="7" s="1"/>
  <c r="B44" i="21"/>
  <c r="C55" i="3"/>
  <c r="C54" i="3"/>
  <c r="C53" i="3"/>
  <c r="C52" i="3"/>
  <c r="C51" i="3"/>
  <c r="C50" i="3"/>
  <c r="C49" i="3"/>
  <c r="C48" i="3"/>
  <c r="A16" i="21"/>
  <c r="C16" i="21"/>
  <c r="A43" i="21"/>
  <c r="A47" i="3"/>
  <c r="B20" i="3"/>
  <c r="B8" i="5"/>
  <c r="B1" i="5"/>
  <c r="G1" i="32"/>
  <c r="F7" i="32" s="1"/>
  <c r="B1" i="32"/>
  <c r="M20" i="22"/>
  <c r="M32" i="22"/>
  <c r="M42" i="22"/>
  <c r="L20" i="22"/>
  <c r="L32" i="22"/>
  <c r="L42" i="22"/>
  <c r="K20" i="22"/>
  <c r="K32" i="22"/>
  <c r="K42" i="22"/>
  <c r="J20" i="22"/>
  <c r="J32" i="22"/>
  <c r="J42" i="22"/>
  <c r="I1" i="23"/>
  <c r="H9" i="23" s="1"/>
  <c r="D1" i="9"/>
  <c r="C5" i="9" s="1"/>
  <c r="C73" i="9" s="1"/>
  <c r="G1" i="3"/>
  <c r="D9" i="3" s="1"/>
  <c r="A2" i="3"/>
  <c r="A1" i="43"/>
  <c r="B5" i="35"/>
  <c r="B1" i="35"/>
  <c r="B5" i="36"/>
  <c r="B1" i="36"/>
  <c r="B5" i="37"/>
  <c r="B1" i="37"/>
  <c r="I5" i="40"/>
  <c r="G5" i="40"/>
  <c r="E5" i="40"/>
  <c r="C5" i="40"/>
  <c r="A5" i="40"/>
  <c r="I5" i="39"/>
  <c r="G5" i="39"/>
  <c r="E5" i="39"/>
  <c r="C5" i="39"/>
  <c r="A5" i="39"/>
  <c r="B86" i="2"/>
  <c r="A84" i="2"/>
  <c r="D84" i="2"/>
  <c r="K7" i="40"/>
  <c r="K7" i="39"/>
  <c r="A47" i="21"/>
  <c r="A46" i="21"/>
  <c r="A45" i="21"/>
  <c r="A51" i="3"/>
  <c r="A50" i="3"/>
  <c r="A49" i="3"/>
  <c r="B19" i="3"/>
  <c r="C42" i="3"/>
  <c r="C41" i="3"/>
  <c r="C40" i="3"/>
  <c r="C39" i="3"/>
  <c r="C38" i="3"/>
  <c r="C34" i="3"/>
  <c r="C33" i="3"/>
  <c r="C32" i="3"/>
  <c r="A48" i="3"/>
  <c r="A42" i="3"/>
  <c r="A41" i="3"/>
  <c r="A40" i="3"/>
  <c r="A39" i="3"/>
  <c r="A38" i="3"/>
  <c r="A34" i="3"/>
  <c r="A33" i="3"/>
  <c r="A32" i="3"/>
  <c r="A4" i="3"/>
  <c r="A1" i="9"/>
  <c r="A69" i="9" s="1"/>
  <c r="B63" i="7"/>
  <c r="B59" i="7"/>
  <c r="B6" i="7"/>
  <c r="B1" i="7"/>
  <c r="B85" i="2"/>
  <c r="B1" i="23"/>
  <c r="I28" i="23"/>
  <c r="H28" i="23"/>
  <c r="G28" i="23"/>
  <c r="F64" i="70" s="1"/>
  <c r="B7" i="5"/>
  <c r="B36" i="15"/>
  <c r="B5" i="15"/>
  <c r="B1" i="15"/>
  <c r="B1" i="8"/>
  <c r="B1" i="10"/>
  <c r="B34" i="14"/>
  <c r="B5" i="14"/>
  <c r="B1" i="14"/>
  <c r="A44" i="21"/>
  <c r="A38" i="21"/>
  <c r="A37" i="21"/>
  <c r="A36" i="21"/>
  <c r="A35" i="21"/>
  <c r="A34" i="21"/>
  <c r="A33" i="21"/>
  <c r="A32" i="21"/>
  <c r="A31" i="21"/>
  <c r="A30" i="21"/>
  <c r="A29" i="21"/>
  <c r="A28" i="21"/>
  <c r="C15" i="21"/>
  <c r="D37" i="21"/>
  <c r="D35" i="21"/>
  <c r="F33" i="21"/>
  <c r="A4" i="21"/>
  <c r="A15" i="21"/>
  <c r="E28" i="32"/>
  <c r="J55" i="10"/>
  <c r="J56" i="10"/>
  <c r="J87" i="7"/>
  <c r="J54" i="8"/>
  <c r="J55" i="8"/>
  <c r="F46" i="21"/>
  <c r="E43" i="37"/>
  <c r="E46" i="36"/>
  <c r="F37" i="21"/>
  <c r="F18" i="5"/>
  <c r="F14" i="5"/>
  <c r="G16" i="5"/>
  <c r="G19" i="5"/>
  <c r="G15" i="5"/>
  <c r="G17" i="5"/>
  <c r="G18" i="5"/>
  <c r="G14" i="5"/>
  <c r="G13" i="5"/>
  <c r="E52" i="10" s="1"/>
  <c r="H13" i="5"/>
  <c r="E53" i="10" s="1"/>
  <c r="H17" i="5"/>
  <c r="H14" i="5"/>
  <c r="H18" i="5"/>
  <c r="H15" i="5"/>
  <c r="H19" i="5"/>
  <c r="H16" i="5"/>
  <c r="F16" i="5"/>
  <c r="F15" i="5"/>
  <c r="D15" i="5"/>
  <c r="D14" i="5"/>
  <c r="D13" i="5"/>
  <c r="E49" i="10" s="1"/>
  <c r="D18" i="5"/>
  <c r="D17" i="5"/>
  <c r="D16" i="5"/>
  <c r="D19" i="5"/>
  <c r="E15" i="5"/>
  <c r="E18" i="5"/>
  <c r="F19" i="5"/>
  <c r="F13" i="5"/>
  <c r="E51" i="10" s="1"/>
  <c r="E16" i="5"/>
  <c r="E13" i="5"/>
  <c r="E50" i="10" s="1"/>
  <c r="E14" i="5"/>
  <c r="E19" i="5"/>
  <c r="E17" i="5"/>
  <c r="F17" i="5"/>
  <c r="B89" i="57"/>
  <c r="B135" i="9"/>
  <c r="D51" i="3"/>
  <c r="D47" i="3"/>
  <c r="F43" i="21"/>
  <c r="D43" i="21"/>
  <c r="B42" i="21"/>
  <c r="F41" i="21"/>
  <c r="B39" i="21"/>
  <c r="D38" i="21"/>
  <c r="D36" i="21"/>
  <c r="D40" i="3"/>
  <c r="F36" i="21"/>
  <c r="F34" i="21"/>
  <c r="D38" i="3"/>
  <c r="B30" i="21"/>
  <c r="C43" i="14"/>
  <c r="D71" i="8"/>
  <c r="E71" i="8"/>
  <c r="C53" i="7"/>
  <c r="F31" i="21"/>
  <c r="B24" i="21"/>
  <c r="B47" i="21"/>
  <c r="F47" i="21"/>
  <c r="B84" i="57"/>
  <c r="B78" i="57"/>
  <c r="D5" i="34"/>
  <c r="D46" i="3"/>
  <c r="D44" i="3"/>
  <c r="D37" i="3"/>
  <c r="D35" i="3"/>
  <c r="B46" i="37"/>
  <c r="D43" i="3"/>
  <c r="C45" i="15"/>
  <c r="B54" i="21"/>
  <c r="B18" i="40"/>
  <c r="F44" i="21"/>
  <c r="B25" i="21"/>
  <c r="D32" i="21"/>
  <c r="F27" i="21"/>
  <c r="C19" i="37"/>
  <c r="B31" i="21"/>
  <c r="D39" i="21"/>
  <c r="B37" i="21"/>
  <c r="F23" i="21"/>
  <c r="D27" i="3"/>
  <c r="D56" i="21"/>
  <c r="D22" i="21"/>
  <c r="D23" i="21"/>
  <c r="B19" i="21"/>
  <c r="H63" i="34"/>
  <c r="B30" i="34"/>
  <c r="E5" i="34"/>
  <c r="G13" i="34"/>
  <c r="H62" i="34"/>
  <c r="C40" i="34"/>
  <c r="C44" i="34"/>
  <c r="C19" i="3"/>
  <c r="E15" i="14"/>
  <c r="E14" i="14" s="1"/>
  <c r="D5" i="9"/>
  <c r="D73" i="9" s="1"/>
  <c r="B5" i="9"/>
  <c r="B73" i="9" s="1"/>
  <c r="D69" i="9"/>
  <c r="D20" i="10"/>
  <c r="G8" i="8"/>
  <c r="H17" i="8"/>
  <c r="H18" i="8"/>
  <c r="C5" i="8"/>
  <c r="C79" i="8"/>
  <c r="G12" i="8"/>
  <c r="E43" i="8"/>
  <c r="H22" i="8"/>
  <c r="H60" i="8"/>
  <c r="H62" i="8"/>
  <c r="L6" i="22"/>
  <c r="J54" i="21" l="1"/>
  <c r="E34" i="14"/>
  <c r="C45" i="37"/>
  <c r="D5" i="14"/>
  <c r="E56" i="14"/>
  <c r="B69" i="8"/>
  <c r="D32" i="3"/>
  <c r="E59" i="14"/>
  <c r="C59" i="8"/>
  <c r="B28" i="14"/>
  <c r="E25" i="14"/>
  <c r="F30" i="21"/>
  <c r="D47" i="37"/>
  <c r="C5" i="14"/>
  <c r="E5" i="35"/>
  <c r="B54" i="14"/>
  <c r="B59" i="14"/>
  <c r="H65" i="8"/>
  <c r="H59" i="8"/>
  <c r="C43" i="8"/>
  <c r="D23" i="3"/>
  <c r="F29" i="21"/>
  <c r="C34" i="14"/>
  <c r="C14" i="14"/>
  <c r="H98" i="7"/>
  <c r="B29" i="8"/>
  <c r="H19" i="8"/>
  <c r="G15" i="8"/>
  <c r="B34" i="8"/>
  <c r="D33" i="3"/>
  <c r="E5" i="14"/>
  <c r="H61" i="8"/>
  <c r="H23" i="8"/>
  <c r="C39" i="8"/>
  <c r="H20" i="8"/>
  <c r="D28" i="32"/>
  <c r="E74" i="8"/>
  <c r="B23" i="14"/>
  <c r="E28" i="14"/>
  <c r="E7" i="32"/>
  <c r="C31" i="32" s="1"/>
  <c r="C43" i="37"/>
  <c r="F60" i="21"/>
  <c r="J45" i="21"/>
  <c r="D29" i="40"/>
  <c r="D30" i="40" s="1"/>
  <c r="B41" i="37"/>
  <c r="D39" i="3"/>
  <c r="J61" i="21"/>
  <c r="D5" i="37"/>
  <c r="F32" i="21"/>
  <c r="H29" i="40"/>
  <c r="H30" i="40" s="1"/>
  <c r="C47" i="36"/>
  <c r="B12" i="21"/>
  <c r="C61" i="15"/>
  <c r="C5" i="37"/>
  <c r="H95" i="7"/>
  <c r="C115" i="7"/>
  <c r="D12" i="21"/>
  <c r="J52" i="21"/>
  <c r="G87" i="7"/>
  <c r="L43" i="22"/>
  <c r="A9" i="21"/>
  <c r="H94" i="7"/>
  <c r="C16" i="15"/>
  <c r="C29" i="15" s="1"/>
  <c r="C32" i="15" s="1"/>
  <c r="B60" i="21"/>
  <c r="B46" i="21"/>
  <c r="J29" i="40"/>
  <c r="J30" i="40" s="1"/>
  <c r="E5" i="15"/>
  <c r="G22" i="8"/>
  <c r="C98" i="8"/>
  <c r="B76" i="8"/>
  <c r="E76" i="8"/>
  <c r="F80" i="8"/>
  <c r="B46" i="36"/>
  <c r="J55" i="21"/>
  <c r="B41" i="35"/>
  <c r="D5" i="5"/>
  <c r="A17" i="43"/>
  <c r="H97" i="7"/>
  <c r="C5" i="35"/>
  <c r="G90" i="7"/>
  <c r="C63" i="7"/>
  <c r="B105" i="7"/>
  <c r="D60" i="21"/>
  <c r="D5" i="36"/>
  <c r="J60" i="21"/>
  <c r="J6" i="22"/>
  <c r="B41" i="36"/>
  <c r="D5" i="35"/>
  <c r="J41" i="21"/>
  <c r="C5" i="36"/>
  <c r="I9" i="23"/>
  <c r="K17" i="39"/>
  <c r="K30" i="39" s="1"/>
  <c r="D29" i="39"/>
  <c r="D30" i="39" s="1"/>
  <c r="K17" i="40"/>
  <c r="D47" i="35"/>
  <c r="D19" i="44"/>
  <c r="A8" i="43"/>
  <c r="F29" i="39"/>
  <c r="F30" i="39" s="1"/>
  <c r="A62" i="43"/>
  <c r="D42" i="3"/>
  <c r="J43" i="22"/>
  <c r="D65" i="21"/>
  <c r="D44" i="21"/>
  <c r="A9" i="43"/>
  <c r="A51" i="43"/>
  <c r="D25" i="14"/>
  <c r="F64" i="21"/>
  <c r="F29" i="40"/>
  <c r="F30" i="40" s="1"/>
  <c r="C47" i="37"/>
  <c r="C25" i="14"/>
  <c r="B43" i="21"/>
  <c r="D58" i="15"/>
  <c r="A6" i="43"/>
  <c r="D43" i="35"/>
  <c r="D28" i="21"/>
  <c r="C22" i="34"/>
  <c r="C34" i="34" s="1"/>
  <c r="D6" i="34" s="1"/>
  <c r="D22" i="34" s="1"/>
  <c r="D34" i="34" s="1"/>
  <c r="G18" i="34" s="1"/>
  <c r="J29" i="39"/>
  <c r="J30" i="39" s="1"/>
  <c r="D60" i="15"/>
  <c r="E27" i="15"/>
  <c r="G13" i="21"/>
  <c r="K28" i="40"/>
  <c r="D6" i="14"/>
  <c r="C30" i="14"/>
  <c r="B51" i="21"/>
  <c r="B51" i="70"/>
  <c r="F63" i="21"/>
  <c r="F63" i="70"/>
  <c r="D60" i="14"/>
  <c r="D29" i="70"/>
  <c r="F40" i="70"/>
  <c r="B29" i="40"/>
  <c r="B30" i="40" s="1"/>
  <c r="D54" i="21"/>
  <c r="D54" i="70"/>
  <c r="B26" i="70"/>
  <c r="D32" i="34"/>
  <c r="D16" i="70"/>
  <c r="D49" i="3"/>
  <c r="M43" i="22"/>
  <c r="F54" i="21"/>
  <c r="F54" i="70"/>
  <c r="C71" i="10"/>
  <c r="B21" i="70"/>
  <c r="D27" i="21"/>
  <c r="D27" i="70"/>
  <c r="D32" i="10"/>
  <c r="D20" i="70"/>
  <c r="B45" i="21"/>
  <c r="B45" i="70"/>
  <c r="B34" i="70"/>
  <c r="D29" i="14"/>
  <c r="F42" i="21"/>
  <c r="F42" i="70"/>
  <c r="B38" i="70"/>
  <c r="B38" i="21"/>
  <c r="D21" i="21"/>
  <c r="D21" i="70"/>
  <c r="F39" i="70"/>
  <c r="D36" i="15"/>
  <c r="B54" i="15"/>
  <c r="D26" i="3"/>
  <c r="F45" i="21"/>
  <c r="A58" i="43"/>
  <c r="A55" i="43"/>
  <c r="D25" i="21"/>
  <c r="D22" i="70"/>
  <c r="D43" i="37"/>
  <c r="D46" i="70"/>
  <c r="D41" i="3"/>
  <c r="D36" i="70"/>
  <c r="D36" i="3"/>
  <c r="E59" i="15"/>
  <c r="F31" i="70"/>
  <c r="C27" i="15"/>
  <c r="G65" i="34"/>
  <c r="B17" i="70"/>
  <c r="A32" i="44"/>
  <c r="G23" i="34"/>
  <c r="B16" i="70"/>
  <c r="D5" i="15"/>
  <c r="C63" i="43"/>
  <c r="D16" i="21"/>
  <c r="E30" i="15"/>
  <c r="D29" i="21"/>
  <c r="B33" i="21"/>
  <c r="D34" i="3"/>
  <c r="H92" i="7"/>
  <c r="H106" i="7"/>
  <c r="H105" i="7"/>
  <c r="H103" i="7"/>
  <c r="H102" i="7"/>
  <c r="B18" i="21"/>
  <c r="B18" i="70"/>
  <c r="B27" i="70"/>
  <c r="B65" i="9"/>
  <c r="B132" i="9" s="1"/>
  <c r="C65" i="9"/>
  <c r="C132" i="9" s="1"/>
  <c r="F47" i="70"/>
  <c r="D56" i="15"/>
  <c r="D31" i="70"/>
  <c r="F43" i="70"/>
  <c r="G9" i="34"/>
  <c r="H31" i="34"/>
  <c r="H29" i="34"/>
  <c r="H28" i="34"/>
  <c r="H74" i="34"/>
  <c r="H73" i="34"/>
  <c r="H71" i="34"/>
  <c r="H32" i="34"/>
  <c r="H70" i="34"/>
  <c r="G23" i="10"/>
  <c r="B20" i="70"/>
  <c r="D24" i="70"/>
  <c r="E34" i="8"/>
  <c r="F18" i="21"/>
  <c r="B30" i="15"/>
  <c r="D42" i="21"/>
  <c r="K18" i="39"/>
  <c r="A15" i="43"/>
  <c r="D98" i="34"/>
  <c r="D56" i="14"/>
  <c r="F61" i="21"/>
  <c r="F61" i="70"/>
  <c r="G50" i="8"/>
  <c r="H30" i="8"/>
  <c r="H31" i="8"/>
  <c r="H28" i="8"/>
  <c r="H27" i="8"/>
  <c r="H73" i="8"/>
  <c r="H72" i="8"/>
  <c r="H70" i="8"/>
  <c r="H69" i="8"/>
  <c r="D23" i="70"/>
  <c r="F33" i="70"/>
  <c r="F28" i="21"/>
  <c r="B41" i="21"/>
  <c r="B41" i="70"/>
  <c r="B65" i="21"/>
  <c r="B6" i="5"/>
  <c r="B59" i="15"/>
  <c r="K28" i="39"/>
  <c r="B48" i="70" s="1"/>
  <c r="A41" i="43"/>
  <c r="D24" i="21"/>
  <c r="F35" i="21"/>
  <c r="K43" i="22"/>
  <c r="D7" i="32"/>
  <c r="F62" i="21"/>
  <c r="F62" i="70"/>
  <c r="H24" i="10"/>
  <c r="H31" i="10"/>
  <c r="H29" i="10"/>
  <c r="H32" i="10"/>
  <c r="H28" i="10"/>
  <c r="H74" i="10"/>
  <c r="H73" i="10"/>
  <c r="H71" i="10"/>
  <c r="H70" i="10"/>
  <c r="B25" i="70"/>
  <c r="B32" i="21"/>
  <c r="B32" i="70"/>
  <c r="D41" i="21"/>
  <c r="D41" i="70"/>
  <c r="B49" i="21"/>
  <c r="B49" i="70"/>
  <c r="C5" i="15"/>
  <c r="A22" i="43"/>
  <c r="F40" i="21"/>
  <c r="D43" i="36"/>
  <c r="B25" i="15"/>
  <c r="E43" i="36"/>
  <c r="K30" i="40"/>
  <c r="G43" i="22"/>
  <c r="B23" i="21"/>
  <c r="B23" i="70"/>
  <c r="D19" i="21"/>
  <c r="D19" i="70"/>
  <c r="D38" i="70"/>
  <c r="B131" i="9"/>
  <c r="E36" i="8"/>
  <c r="D22" i="3"/>
  <c r="F27" i="70"/>
  <c r="F26" i="70"/>
  <c r="D29" i="3"/>
  <c r="F25" i="21"/>
  <c r="F25" i="70"/>
  <c r="F24" i="70"/>
  <c r="F22" i="70"/>
  <c r="E71" i="10"/>
  <c r="F21" i="70"/>
  <c r="E32" i="10"/>
  <c r="F20" i="70"/>
  <c r="F19" i="21"/>
  <c r="F38" i="8"/>
  <c r="F18" i="70"/>
  <c r="E72" i="34"/>
  <c r="F17" i="70"/>
  <c r="E32" i="34"/>
  <c r="F16" i="70"/>
  <c r="E19" i="44"/>
  <c r="D12" i="71"/>
  <c r="F60" i="3"/>
  <c r="E10" i="3"/>
  <c r="B73" i="3"/>
  <c r="A8" i="3"/>
  <c r="A7" i="3"/>
  <c r="D30" i="3"/>
  <c r="F26" i="21"/>
  <c r="B26" i="21"/>
  <c r="B27" i="21"/>
  <c r="D31" i="3"/>
  <c r="F22" i="21"/>
  <c r="G65" i="10"/>
  <c r="B21" i="21"/>
  <c r="C61" i="10"/>
  <c r="C73" i="10" s="1"/>
  <c r="C100" i="10" s="1"/>
  <c r="F38" i="10"/>
  <c r="D24" i="3"/>
  <c r="E60" i="10"/>
  <c r="G61" i="10" s="1"/>
  <c r="B76" i="10"/>
  <c r="E5" i="10"/>
  <c r="C22" i="10"/>
  <c r="C34" i="10" s="1"/>
  <c r="D6" i="10" s="1"/>
  <c r="D22" i="10" s="1"/>
  <c r="D34" i="10" s="1"/>
  <c r="C97" i="10"/>
  <c r="B37" i="10" s="1"/>
  <c r="G51" i="10"/>
  <c r="B69" i="10"/>
  <c r="E76" i="10"/>
  <c r="H23" i="10"/>
  <c r="H62" i="10"/>
  <c r="D71" i="10"/>
  <c r="C5" i="10"/>
  <c r="C32" i="10"/>
  <c r="G58" i="10"/>
  <c r="D44" i="10"/>
  <c r="H21" i="10"/>
  <c r="F80" i="10"/>
  <c r="H63" i="10"/>
  <c r="H66" i="10"/>
  <c r="D25" i="3"/>
  <c r="B74" i="10"/>
  <c r="B20" i="21"/>
  <c r="C40" i="10"/>
  <c r="B36" i="8"/>
  <c r="C21" i="8"/>
  <c r="C33" i="8" s="1"/>
  <c r="C5" i="34"/>
  <c r="C80" i="34"/>
  <c r="H65" i="34"/>
  <c r="E44" i="34"/>
  <c r="E77" i="34"/>
  <c r="D44" i="34"/>
  <c r="E37" i="34"/>
  <c r="C52" i="21"/>
  <c r="B75" i="34"/>
  <c r="G51" i="34"/>
  <c r="G55" i="34"/>
  <c r="E22" i="57"/>
  <c r="E29" i="57"/>
  <c r="F17" i="21"/>
  <c r="E75" i="34"/>
  <c r="F79" i="34"/>
  <c r="B17" i="21"/>
  <c r="C72" i="34"/>
  <c r="D21" i="3"/>
  <c r="G16" i="34"/>
  <c r="H24" i="34"/>
  <c r="H18" i="34"/>
  <c r="H19" i="34"/>
  <c r="H21" i="34"/>
  <c r="H20" i="34"/>
  <c r="C100" i="34"/>
  <c r="D82" i="7"/>
  <c r="D108" i="7" s="1"/>
  <c r="D15" i="21" s="1"/>
  <c r="E52" i="21"/>
  <c r="E28" i="57"/>
  <c r="J47" i="21"/>
  <c r="F12" i="21"/>
  <c r="H64" i="8"/>
  <c r="G54" i="8"/>
  <c r="G57" i="8"/>
  <c r="D43" i="8"/>
  <c r="E5" i="8"/>
  <c r="J63" i="21"/>
  <c r="J48" i="21"/>
  <c r="B74" i="8"/>
  <c r="D17" i="21"/>
  <c r="D72" i="34"/>
  <c r="B29" i="21"/>
  <c r="C56" i="14"/>
  <c r="C58" i="14"/>
  <c r="C60" i="14"/>
  <c r="D131" i="9"/>
  <c r="B22" i="21"/>
  <c r="D18" i="21"/>
  <c r="D31" i="8"/>
  <c r="D34" i="21"/>
  <c r="B48" i="21"/>
  <c r="C77" i="7"/>
  <c r="C82" i="7" s="1"/>
  <c r="C108" i="7" s="1"/>
  <c r="B15" i="70" s="1"/>
  <c r="D100" i="34"/>
  <c r="K18" i="40"/>
  <c r="C48" i="37"/>
  <c r="D6" i="37"/>
  <c r="D19" i="37" s="1"/>
  <c r="D45" i="37" s="1"/>
  <c r="C48" i="36"/>
  <c r="D6" i="36"/>
  <c r="D19" i="36" s="1"/>
  <c r="D45" i="36" s="1"/>
  <c r="D47" i="21"/>
  <c r="E46" i="35"/>
  <c r="D48" i="3"/>
  <c r="E43" i="35"/>
  <c r="D5" i="44"/>
  <c r="A22" i="44"/>
  <c r="C5" i="44"/>
  <c r="E5" i="44"/>
  <c r="B5" i="44"/>
  <c r="H65" i="10"/>
  <c r="H18" i="10"/>
  <c r="H61" i="10"/>
  <c r="G9" i="10"/>
  <c r="E44" i="10"/>
  <c r="B35" i="10"/>
  <c r="G16" i="10"/>
  <c r="G13" i="10"/>
  <c r="H60" i="10"/>
  <c r="C44" i="10"/>
  <c r="D5" i="10"/>
  <c r="H20" i="10"/>
  <c r="G55" i="10"/>
  <c r="C79" i="10"/>
  <c r="H19" i="10"/>
  <c r="B30" i="10"/>
  <c r="E71" i="7"/>
  <c r="E82" i="7" s="1"/>
  <c r="E108" i="7" s="1"/>
  <c r="F15" i="70" s="1"/>
  <c r="D65" i="9"/>
  <c r="D132" i="9" s="1"/>
  <c r="C20" i="5"/>
  <c r="D45" i="3"/>
  <c r="C32" i="34"/>
  <c r="C98" i="34"/>
  <c r="B16" i="21"/>
  <c r="D15" i="14"/>
  <c r="D14" i="14" s="1"/>
  <c r="F16" i="21"/>
  <c r="E35" i="34"/>
  <c r="F37" i="34"/>
  <c r="D20" i="3"/>
  <c r="G64" i="8"/>
  <c r="C73" i="8"/>
  <c r="C71" i="8"/>
  <c r="B35" i="21"/>
  <c r="C16" i="35"/>
  <c r="C18" i="35"/>
  <c r="C45" i="35" s="1"/>
  <c r="C60" i="34"/>
  <c r="C62" i="34"/>
  <c r="C74" i="34" s="1"/>
  <c r="F21" i="21"/>
  <c r="E74" i="10"/>
  <c r="F38" i="21"/>
  <c r="F24" i="21"/>
  <c r="D63" i="7"/>
  <c r="D6" i="7"/>
  <c r="B110" i="7"/>
  <c r="E63" i="7"/>
  <c r="H93" i="7"/>
  <c r="E6" i="7"/>
  <c r="G83" i="7"/>
  <c r="M43" i="21"/>
  <c r="M62" i="21"/>
  <c r="B36" i="21"/>
  <c r="D30" i="21"/>
  <c r="D27" i="15"/>
  <c r="D40" i="21"/>
  <c r="H29" i="39"/>
  <c r="H30" i="39" s="1"/>
  <c r="D45" i="21"/>
  <c r="D47" i="36"/>
  <c r="C31" i="15"/>
  <c r="F28" i="32"/>
  <c r="E36" i="15"/>
  <c r="F20" i="21"/>
  <c r="E37" i="10"/>
  <c r="E35" i="10"/>
  <c r="A14" i="43"/>
  <c r="A7" i="43"/>
  <c r="B63" i="43"/>
  <c r="A57" i="43"/>
  <c r="A39" i="43"/>
  <c r="E46" i="37"/>
  <c r="D50" i="3"/>
  <c r="D33" i="21"/>
  <c r="D31" i="15"/>
  <c r="C29" i="14"/>
  <c r="B28" i="21"/>
  <c r="C131" i="9"/>
  <c r="D61" i="34"/>
  <c r="D60" i="34" s="1"/>
  <c r="D26" i="21"/>
  <c r="G58" i="34"/>
  <c r="H60" i="34"/>
  <c r="B35" i="34"/>
  <c r="H66" i="34"/>
  <c r="H61" i="34"/>
  <c r="B91" i="57"/>
  <c r="B46" i="57"/>
  <c r="F65" i="21" l="1"/>
  <c r="D45" i="10"/>
  <c r="D61" i="10" s="1"/>
  <c r="D73" i="10" s="1"/>
  <c r="K29" i="40"/>
  <c r="D6" i="15"/>
  <c r="D16" i="15" s="1"/>
  <c r="D29" i="15" s="1"/>
  <c r="E6" i="15" s="1"/>
  <c r="E16" i="15" s="1"/>
  <c r="E29" i="15" s="1"/>
  <c r="E31" i="15" s="1"/>
  <c r="F65" i="70"/>
  <c r="C133" i="9"/>
  <c r="B133" i="9"/>
  <c r="D99" i="34"/>
  <c r="B37" i="34"/>
  <c r="C99" i="34"/>
  <c r="E6" i="34"/>
  <c r="E37" i="15"/>
  <c r="E47" i="15" s="1"/>
  <c r="E58" i="15" s="1"/>
  <c r="E60" i="15" s="1"/>
  <c r="D61" i="15"/>
  <c r="F52" i="70"/>
  <c r="F55" i="70" s="1"/>
  <c r="D107" i="7"/>
  <c r="D15" i="70"/>
  <c r="D52" i="70" s="1"/>
  <c r="D55" i="70" s="1"/>
  <c r="D133" i="7"/>
  <c r="B50" i="21"/>
  <c r="B50" i="70"/>
  <c r="B52" i="70" s="1"/>
  <c r="B55" i="70" s="1"/>
  <c r="C98" i="10"/>
  <c r="G74" i="34"/>
  <c r="G74" i="10"/>
  <c r="G73" i="8"/>
  <c r="G32" i="10"/>
  <c r="G31" i="8"/>
  <c r="G28" i="8"/>
  <c r="D6" i="8"/>
  <c r="D21" i="8" s="1"/>
  <c r="D33" i="8" s="1"/>
  <c r="C99" i="8"/>
  <c r="B77" i="34"/>
  <c r="M47" i="21"/>
  <c r="M55" i="21" s="1"/>
  <c r="G32" i="34"/>
  <c r="G106" i="7"/>
  <c r="C133" i="7"/>
  <c r="C107" i="7"/>
  <c r="C109" i="7"/>
  <c r="G97" i="7"/>
  <c r="B15" i="21"/>
  <c r="B52" i="21" s="1"/>
  <c r="B55" i="21" s="1"/>
  <c r="D52" i="21"/>
  <c r="D55" i="21" s="1"/>
  <c r="D6" i="35"/>
  <c r="D18" i="35" s="1"/>
  <c r="D45" i="35" s="1"/>
  <c r="C48" i="35"/>
  <c r="C61" i="14"/>
  <c r="D35" i="14"/>
  <c r="D45" i="14" s="1"/>
  <c r="D58" i="14" s="1"/>
  <c r="C101" i="34"/>
  <c r="D45" i="34"/>
  <c r="D62" i="34" s="1"/>
  <c r="D74" i="34" s="1"/>
  <c r="D48" i="36"/>
  <c r="E6" i="36"/>
  <c r="E19" i="36" s="1"/>
  <c r="E45" i="36" s="1"/>
  <c r="E47" i="36" s="1"/>
  <c r="D44" i="8"/>
  <c r="D61" i="8" s="1"/>
  <c r="D73" i="8" s="1"/>
  <c r="C101" i="8"/>
  <c r="E6" i="37"/>
  <c r="E19" i="37" s="1"/>
  <c r="E45" i="37" s="1"/>
  <c r="E47" i="37" s="1"/>
  <c r="D48" i="37"/>
  <c r="G60" i="10"/>
  <c r="E45" i="10"/>
  <c r="E61" i="10" s="1"/>
  <c r="E77" i="10" s="1"/>
  <c r="D100" i="10"/>
  <c r="B77" i="10" s="1"/>
  <c r="D133" i="9"/>
  <c r="G32" i="5"/>
  <c r="G12" i="5" s="1"/>
  <c r="E13" i="10" s="1"/>
  <c r="F31" i="5"/>
  <c r="F12" i="5" s="1"/>
  <c r="E12" i="10" s="1"/>
  <c r="E30" i="5"/>
  <c r="E12" i="5" s="1"/>
  <c r="E11" i="10" s="1"/>
  <c r="H33" i="5"/>
  <c r="H12" i="5" s="1"/>
  <c r="E14" i="10" s="1"/>
  <c r="D29" i="5"/>
  <c r="D12" i="5" s="1"/>
  <c r="E10" i="10" s="1"/>
  <c r="F114" i="7"/>
  <c r="E110" i="7"/>
  <c r="F15" i="21"/>
  <c r="F52" i="21" s="1"/>
  <c r="F55" i="21" s="1"/>
  <c r="D19" i="3"/>
  <c r="D56" i="3" s="1"/>
  <c r="E112" i="7"/>
  <c r="E107" i="7"/>
  <c r="K29" i="39"/>
  <c r="E6" i="10"/>
  <c r="D98" i="10"/>
  <c r="G18" i="10"/>
  <c r="D16" i="14"/>
  <c r="D27" i="14" s="1"/>
  <c r="D32" i="15" l="1"/>
  <c r="E78" i="10"/>
  <c r="E79" i="10" s="1"/>
  <c r="E21" i="10"/>
  <c r="G19" i="10" s="1"/>
  <c r="H10" i="5"/>
  <c r="E14" i="8" s="1"/>
  <c r="H11" i="5"/>
  <c r="E52" i="8" s="1"/>
  <c r="E10" i="5"/>
  <c r="E11" i="8" s="1"/>
  <c r="E11" i="5"/>
  <c r="E49" i="8" s="1"/>
  <c r="F10" i="5"/>
  <c r="E12" i="8" s="1"/>
  <c r="F11" i="5"/>
  <c r="E50" i="8" s="1"/>
  <c r="D10" i="5"/>
  <c r="E10" i="8" s="1"/>
  <c r="D11" i="5"/>
  <c r="E48" i="8" s="1"/>
  <c r="G10" i="5"/>
  <c r="E13" i="8" s="1"/>
  <c r="G11" i="5"/>
  <c r="E51" i="8" s="1"/>
  <c r="E8" i="5"/>
  <c r="E11" i="34" s="1"/>
  <c r="E9" i="5"/>
  <c r="E50" i="34" s="1"/>
  <c r="G18" i="57" s="1"/>
  <c r="F8" i="5"/>
  <c r="F9" i="5"/>
  <c r="E51" i="34" s="1"/>
  <c r="G19" i="57" s="1"/>
  <c r="H8" i="5"/>
  <c r="E14" i="34" s="1"/>
  <c r="H9" i="5"/>
  <c r="E53" i="34" s="1"/>
  <c r="D8" i="5"/>
  <c r="E10" i="34" s="1"/>
  <c r="D9" i="5"/>
  <c r="E49" i="34" s="1"/>
  <c r="G8" i="5"/>
  <c r="E13" i="34" s="1"/>
  <c r="G9" i="5"/>
  <c r="E52" i="34" s="1"/>
  <c r="E12" i="34"/>
  <c r="B38" i="34"/>
  <c r="B38" i="10"/>
  <c r="B112" i="7"/>
  <c r="G17" i="8"/>
  <c r="E6" i="8"/>
  <c r="D99" i="8"/>
  <c r="B37" i="8" s="1"/>
  <c r="G62" i="10"/>
  <c r="D61" i="14"/>
  <c r="E35" i="14"/>
  <c r="E45" i="14" s="1"/>
  <c r="E58" i="14" s="1"/>
  <c r="E60" i="14" s="1"/>
  <c r="C134" i="7"/>
  <c r="D7" i="7"/>
  <c r="D55" i="7" s="1"/>
  <c r="D101" i="8"/>
  <c r="B77" i="8" s="1"/>
  <c r="E44" i="8"/>
  <c r="G59" i="8"/>
  <c r="E6" i="14"/>
  <c r="E16" i="14" s="1"/>
  <c r="E27" i="14" s="1"/>
  <c r="E29" i="14" s="1"/>
  <c r="D30" i="14"/>
  <c r="E6" i="35"/>
  <c r="E18" i="35" s="1"/>
  <c r="E45" i="35" s="1"/>
  <c r="E47" i="35" s="1"/>
  <c r="D48" i="35"/>
  <c r="G60" i="34"/>
  <c r="E45" i="34"/>
  <c r="D101" i="34"/>
  <c r="B78" i="34" s="1"/>
  <c r="E7" i="5" l="1"/>
  <c r="D7" i="5"/>
  <c r="D20" i="5" s="1"/>
  <c r="E22" i="10"/>
  <c r="E38" i="10" s="1"/>
  <c r="E39" i="10" s="1"/>
  <c r="G26" i="21"/>
  <c r="H26" i="21" s="1"/>
  <c r="E30" i="3"/>
  <c r="G26" i="70"/>
  <c r="H26" i="70" s="1"/>
  <c r="G27" i="70"/>
  <c r="E31" i="3"/>
  <c r="H27" i="70"/>
  <c r="G27" i="21"/>
  <c r="H27" i="21" s="1"/>
  <c r="E29" i="3"/>
  <c r="G25" i="21"/>
  <c r="H25" i="21" s="1"/>
  <c r="G25" i="70"/>
  <c r="H25" i="70" s="1"/>
  <c r="H21" i="21"/>
  <c r="G70" i="10" s="1"/>
  <c r="G21" i="70"/>
  <c r="H21" i="70" s="1"/>
  <c r="G21" i="21"/>
  <c r="E59" i="10"/>
  <c r="E25" i="3"/>
  <c r="K62" i="10"/>
  <c r="E20" i="8"/>
  <c r="G18" i="8" s="1"/>
  <c r="H7" i="5"/>
  <c r="E15" i="7" s="1"/>
  <c r="G7" i="5"/>
  <c r="G20" i="5" s="1"/>
  <c r="E60" i="8"/>
  <c r="G60" i="8" s="1"/>
  <c r="G17" i="57"/>
  <c r="E61" i="34"/>
  <c r="G61" i="34" s="1"/>
  <c r="F7" i="5"/>
  <c r="E13" i="7" s="1"/>
  <c r="E21" i="34"/>
  <c r="E12" i="7"/>
  <c r="E20" i="5"/>
  <c r="E11" i="7"/>
  <c r="E14" i="7"/>
  <c r="G63" i="10"/>
  <c r="G66" i="10" s="1"/>
  <c r="D109" i="7"/>
  <c r="D64" i="7"/>
  <c r="H20" i="5" l="1"/>
  <c r="G22" i="21"/>
  <c r="H22" i="21" s="1"/>
  <c r="E26" i="3"/>
  <c r="E27" i="3"/>
  <c r="G23" i="21"/>
  <c r="H23" i="21" s="1"/>
  <c r="G23" i="70"/>
  <c r="H23" i="70" s="1"/>
  <c r="G22" i="70"/>
  <c r="H22" i="70" s="1"/>
  <c r="E21" i="8"/>
  <c r="E37" i="8" s="1"/>
  <c r="E40" i="10"/>
  <c r="G20" i="10" s="1"/>
  <c r="H24" i="21"/>
  <c r="G24" i="70"/>
  <c r="H24" i="70" s="1"/>
  <c r="G24" i="21"/>
  <c r="E28" i="3"/>
  <c r="E61" i="8"/>
  <c r="E77" i="8" s="1"/>
  <c r="E62" i="34"/>
  <c r="E78" i="34" s="1"/>
  <c r="F20" i="5"/>
  <c r="G19" i="34"/>
  <c r="E22" i="34"/>
  <c r="E38" i="34" s="1"/>
  <c r="E54" i="7"/>
  <c r="G93" i="7" s="1"/>
  <c r="G92" i="7"/>
  <c r="E7" i="7"/>
  <c r="D134" i="7"/>
  <c r="B113" i="7" s="1"/>
  <c r="K20" i="10" l="1"/>
  <c r="G21" i="10"/>
  <c r="G24" i="10" s="1"/>
  <c r="E78" i="8"/>
  <c r="E79" i="8" s="1"/>
  <c r="E20" i="10"/>
  <c r="G20" i="21"/>
  <c r="H20" i="21" s="1"/>
  <c r="G28" i="10" s="1"/>
  <c r="G20" i="70"/>
  <c r="H20" i="70" s="1"/>
  <c r="E24" i="3"/>
  <c r="E39" i="34"/>
  <c r="E40" i="34" s="1"/>
  <c r="E79" i="34"/>
  <c r="E38" i="8"/>
  <c r="E39" i="8" s="1"/>
  <c r="G61" i="8"/>
  <c r="E55" i="7"/>
  <c r="E64" i="7" s="1"/>
  <c r="G19" i="21" l="1"/>
  <c r="H19" i="21" s="1"/>
  <c r="G69" i="8" s="1"/>
  <c r="E59" i="8"/>
  <c r="E23" i="3"/>
  <c r="G19" i="70"/>
  <c r="H19" i="70" s="1"/>
  <c r="E20" i="34"/>
  <c r="E20" i="3"/>
  <c r="G16" i="21"/>
  <c r="H16" i="21" s="1"/>
  <c r="G28" i="34" s="1"/>
  <c r="G16" i="70"/>
  <c r="H16" i="70" s="1"/>
  <c r="G20" i="34"/>
  <c r="K20" i="34" s="1"/>
  <c r="G19" i="8"/>
  <c r="G18" i="70"/>
  <c r="H18" i="70" s="1"/>
  <c r="E22" i="3"/>
  <c r="E19" i="8"/>
  <c r="G18" i="21"/>
  <c r="H18" i="21" s="1"/>
  <c r="G27" i="8" s="1"/>
  <c r="E80" i="34"/>
  <c r="G62" i="34" s="1"/>
  <c r="K61" i="34" s="1"/>
  <c r="K61" i="8"/>
  <c r="G62" i="8"/>
  <c r="G65" i="8" s="1"/>
  <c r="E113" i="7"/>
  <c r="G21" i="34" l="1"/>
  <c r="G24" i="34" s="1"/>
  <c r="K19" i="8"/>
  <c r="G20" i="8"/>
  <c r="G23" i="8" s="1"/>
  <c r="G63" i="34"/>
  <c r="G66" i="34" s="1"/>
  <c r="E114" i="7"/>
  <c r="E115" i="7" s="1"/>
  <c r="G17" i="21"/>
  <c r="H17" i="21" s="1"/>
  <c r="E21" i="3"/>
  <c r="E60" i="34"/>
  <c r="G17" i="70"/>
  <c r="H17" i="70" s="1"/>
  <c r="G15" i="57"/>
  <c r="G22" i="57" s="1"/>
  <c r="G15" i="21" l="1"/>
  <c r="G52" i="21" s="1"/>
  <c r="E19" i="3"/>
  <c r="E56" i="3" s="1"/>
  <c r="G94" i="7"/>
  <c r="E53" i="7"/>
  <c r="G15" i="70"/>
  <c r="G52" i="70" s="1"/>
  <c r="G29" i="57"/>
  <c r="E30" i="57" s="1"/>
  <c r="D31" i="57" s="1"/>
  <c r="G70" i="34"/>
  <c r="D24" i="57"/>
  <c r="E23" i="57"/>
  <c r="H15" i="21" l="1"/>
  <c r="G102" i="7" s="1"/>
  <c r="H15" i="70"/>
  <c r="H52" i="70" s="1"/>
  <c r="M65" i="70" s="1"/>
  <c r="J67" i="70" s="1"/>
  <c r="K94" i="7"/>
  <c r="G95" i="7"/>
  <c r="G98" i="7" s="1"/>
  <c r="F33" i="57"/>
  <c r="F81" i="34" s="1"/>
  <c r="M54" i="70"/>
  <c r="M56" i="70" s="1"/>
  <c r="M63" i="70"/>
  <c r="M54" i="21"/>
  <c r="M56" i="21" s="1"/>
  <c r="M63" i="21"/>
  <c r="H52" i="21" l="1"/>
  <c r="M60" i="70"/>
  <c r="M49" i="70"/>
  <c r="J49" i="70" s="1"/>
  <c r="M50" i="70"/>
  <c r="J50" i="70" s="1"/>
  <c r="M50" i="21"/>
  <c r="J50" i="21" s="1"/>
  <c r="M49" i="21"/>
  <c r="J49" i="21" s="1"/>
  <c r="G105" i="7" l="1"/>
  <c r="J108" i="7" s="1"/>
  <c r="G110" i="7" s="1"/>
  <c r="M60" i="21"/>
  <c r="G72" i="8"/>
  <c r="J75" i="8" s="1"/>
  <c r="G77" i="8" s="1"/>
  <c r="G31" i="10"/>
  <c r="J34" i="10" s="1"/>
  <c r="G36" i="10" s="1"/>
  <c r="G73" i="34"/>
  <c r="J76" i="34" s="1"/>
  <c r="G78" i="34" s="1"/>
  <c r="G12" i="71"/>
  <c r="G73" i="10"/>
  <c r="J76" i="10" s="1"/>
  <c r="G78" i="10" s="1"/>
  <c r="G31" i="34"/>
  <c r="J34" i="34" s="1"/>
  <c r="G36" i="34" s="1"/>
  <c r="M65" i="21"/>
  <c r="J67" i="21" s="1"/>
  <c r="G30" i="8"/>
  <c r="J33" i="8" s="1"/>
  <c r="G35" i="8" s="1"/>
</calcChain>
</file>

<file path=xl/sharedStrings.xml><?xml version="1.0" encoding="utf-8"?>
<sst xmlns="http://schemas.openxmlformats.org/spreadsheetml/2006/main" count="1727" uniqueCount="1056">
  <si>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</si>
  <si>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</si>
  <si>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</si>
  <si>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Attest:_____________________,</t>
  </si>
  <si>
    <t>Funds</t>
  </si>
  <si>
    <t>Budget Authority</t>
  </si>
  <si>
    <t xml:space="preserve">expenditure amounts should reflect the amended </t>
  </si>
  <si>
    <t>expenditure amounts.</t>
  </si>
  <si>
    <t>Neighborhood Revitalization Rebate</t>
  </si>
  <si>
    <t>Miscellaneous</t>
  </si>
  <si>
    <t>Cash Balance Jan 1</t>
  </si>
  <si>
    <t>Employee Benefits</t>
  </si>
  <si>
    <t xml:space="preserve">Employee Benefits </t>
  </si>
  <si>
    <t>28. Added to all budgeted fund pages the budget authority for the actual year, budget violation, and cash violation.</t>
  </si>
  <si>
    <t>29. Added instruction on the addition for item 29.</t>
  </si>
  <si>
    <t>The following were changed to this spreadsheet on 5/08/08</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</si>
  <si>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</si>
  <si>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</si>
  <si>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</si>
  <si>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</si>
  <si>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</si>
  <si>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</si>
  <si>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</si>
  <si>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</si>
  <si>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</si>
  <si>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4. All tax levy fund pages abbreviated the non-appropriated, total expenditures/non-appropriated, and delinquency computation rate.</t>
  </si>
  <si>
    <t>4. Changed foot note to reflect the changes made on 7/1/08 to the above tabs.</t>
  </si>
  <si>
    <t>10. Changed the Bond &amp; Interest tab (B&amp;I) to Debt Service tab (DebtService).</t>
  </si>
  <si>
    <t>11. Changed the revised date on all pages changed.</t>
  </si>
  <si>
    <t xml:space="preserve">Ad Valorem Tax </t>
  </si>
  <si>
    <t>The following were changed to this spreadsheet on 7/01/08</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</si>
  <si>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</si>
  <si>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</si>
  <si>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</si>
  <si>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</si>
  <si>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</si>
  <si>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</si>
  <si>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</si>
  <si>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</si>
  <si>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</si>
  <si>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</si>
  <si>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Page</t>
  </si>
  <si>
    <t>Table of Contents:</t>
  </si>
  <si>
    <t>No.</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</si>
  <si>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</si>
  <si>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</si>
  <si>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</si>
  <si>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</si>
  <si>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</si>
  <si>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</si>
  <si>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</si>
  <si>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</si>
  <si>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</si>
  <si>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</si>
  <si>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</si>
  <si>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</si>
  <si>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</si>
  <si>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</si>
  <si>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</si>
  <si>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</si>
  <si>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</si>
  <si>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</si>
  <si>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</si>
  <si>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</si>
  <si>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</si>
  <si>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</si>
  <si>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</si>
  <si>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</si>
  <si>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</si>
  <si>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</si>
  <si>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</si>
  <si>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</si>
  <si>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</si>
  <si>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</si>
  <si>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</si>
  <si>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</si>
  <si>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</si>
  <si>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</si>
  <si>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</si>
  <si>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</si>
  <si>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</si>
  <si>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</si>
  <si>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</si>
  <si>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</si>
  <si>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</si>
  <si>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</si>
  <si>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</si>
  <si>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</si>
  <si>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</si>
  <si>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</si>
  <si>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</si>
  <si>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</si>
  <si>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</si>
  <si>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</si>
  <si>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</si>
  <si>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</si>
  <si>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</si>
  <si>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</si>
  <si>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</si>
  <si>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</si>
  <si>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</si>
  <si>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</si>
  <si>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</si>
  <si>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</si>
  <si>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</si>
  <si>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</si>
  <si>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</si>
  <si>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</si>
  <si>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</si>
  <si>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</si>
  <si>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</si>
  <si>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</si>
  <si>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</si>
  <si>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</si>
  <si>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</si>
  <si>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</si>
  <si>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</si>
  <si>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</si>
  <si>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</si>
  <si>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</si>
  <si>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</si>
  <si>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</si>
  <si>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</si>
  <si>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</si>
  <si>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</si>
  <si>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</si>
  <si>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</si>
  <si>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</si>
  <si>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</si>
  <si>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</si>
  <si>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16/20M Vehicle Tax</t>
  </si>
  <si>
    <t>Gross Earning (Intangible) Tax</t>
  </si>
  <si>
    <t>Special Highway</t>
  </si>
  <si>
    <t>State of Kansas Gas Tax</t>
  </si>
  <si>
    <t xml:space="preserve">  Real Estate</t>
  </si>
  <si>
    <t xml:space="preserve">  State Assessed</t>
  </si>
  <si>
    <t xml:space="preserve">  New Improvements</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</si>
  <si>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</si>
  <si>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</si>
  <si>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</si>
  <si>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</si>
  <si>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</si>
  <si>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</si>
  <si>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</si>
  <si>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</si>
  <si>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</si>
  <si>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</si>
  <si>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</si>
  <si>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</si>
  <si>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NON-BUDGETED FUNDS (A)</t>
  </si>
  <si>
    <t>(1) Fund Name:</t>
  </si>
  <si>
    <t>(2) Fund Name:</t>
  </si>
  <si>
    <t>(3) Fund Name:</t>
  </si>
  <si>
    <t>(4) Fund Name:</t>
  </si>
  <si>
    <t>(5) Fund Name:</t>
  </si>
  <si>
    <t xml:space="preserve">Unencumbered </t>
  </si>
  <si>
    <t>Cash Balance Dec 31</t>
  </si>
  <si>
    <t>NON-BUDGETED FUNDS (B)</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</si>
  <si>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</si>
  <si>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</si>
  <si>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</si>
  <si>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</si>
  <si>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</si>
  <si>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</si>
  <si>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</si>
  <si>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</si>
  <si>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</si>
  <si>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</si>
  <si>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</si>
  <si>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</si>
  <si>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</si>
  <si>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</si>
  <si>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</si>
  <si>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</si>
  <si>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</si>
  <si>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</si>
  <si>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</si>
  <si>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</si>
  <si>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</si>
  <si>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</si>
  <si>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</si>
  <si>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</si>
  <si>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</si>
  <si>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</si>
  <si>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</si>
  <si>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</si>
  <si>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</si>
  <si>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</si>
  <si>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</si>
  <si>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Funds-B</t>
  </si>
  <si>
    <t>Non-Budgeted Funds-A</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</si>
  <si>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</si>
  <si>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</si>
  <si>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</si>
  <si>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</si>
  <si>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</si>
  <si>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</si>
  <si>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</si>
  <si>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</si>
  <si>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</si>
  <si>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</si>
  <si>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</si>
  <si>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</si>
  <si>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</si>
  <si>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</si>
  <si>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</si>
  <si>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</si>
  <si>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</si>
  <si>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</si>
  <si>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</si>
  <si>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</si>
  <si>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</si>
  <si>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</si>
  <si>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t>
  </si>
  <si>
    <t>**Note: These two block figures should agree.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</si>
  <si>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</si>
  <si>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</si>
  <si>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 xml:space="preserve">4.  All dates on the spreadsheet are controlled from input on the input Prior Year page. </t>
  </si>
  <si>
    <t>14. Changed the Certificate page so the county name flows instead of having unneeded spaces.</t>
  </si>
  <si>
    <t>The following were changed to this spreadsheet on 2/23/09</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</si>
  <si>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</si>
  <si>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</si>
  <si>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</si>
  <si>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</si>
  <si>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</si>
  <si>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</si>
  <si>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</si>
  <si>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</si>
  <si>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</si>
  <si>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</si>
  <si>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</si>
  <si>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</si>
  <si>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</si>
  <si>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</si>
  <si>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</si>
  <si>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</si>
  <si>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</si>
  <si>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</si>
  <si>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</si>
  <si>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</si>
  <si>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</si>
  <si>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</si>
  <si>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</si>
  <si>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</si>
  <si>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</si>
  <si>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</si>
  <si>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</si>
  <si>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</si>
  <si>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</si>
  <si>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</si>
  <si>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</si>
  <si>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</si>
  <si>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</si>
  <si>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</si>
  <si>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</si>
  <si>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</si>
  <si>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</si>
  <si>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</si>
  <si>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</si>
  <si>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</si>
  <si>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</si>
  <si>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</si>
  <si>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</si>
  <si>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</si>
  <si>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</si>
  <si>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</si>
  <si>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</si>
  <si>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</si>
  <si>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</si>
  <si>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</si>
  <si>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</si>
  <si>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</si>
  <si>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</si>
  <si>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</si>
  <si>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</si>
  <si>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</si>
  <si>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</si>
  <si>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</si>
  <si>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Date:</t>
  </si>
  <si>
    <t>Time:</t>
  </si>
  <si>
    <t>Location:</t>
  </si>
  <si>
    <t>Available at:</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</si>
  <si>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</si>
  <si>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</si>
  <si>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</si>
  <si>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</si>
  <si>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</si>
  <si>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</si>
  <si>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</si>
  <si>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</si>
  <si>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</si>
  <si>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</si>
  <si>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</si>
  <si>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</si>
  <si>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</si>
  <si>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</si>
  <si>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</si>
  <si>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</si>
  <si>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</si>
  <si>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</si>
  <si>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</si>
  <si>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</si>
  <si>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</si>
  <si>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</si>
  <si>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</si>
  <si>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</si>
  <si>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</si>
  <si>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answering objections of taxpayers relating to the proposed use of all funds and the amount of ad valorem tax.</t>
  </si>
  <si>
    <t>4. Deleted lines on Budget Summary reference in #3</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</si>
  <si>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</si>
  <si>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</si>
  <si>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</si>
  <si>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</si>
  <si>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</si>
  <si>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</si>
  <si>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</si>
  <si>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</si>
  <si>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</si>
  <si>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</si>
  <si>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</si>
  <si>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</si>
  <si>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</si>
  <si>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</si>
  <si>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</si>
  <si>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</si>
  <si>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</si>
  <si>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</si>
  <si>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</si>
  <si>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</si>
  <si>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</si>
  <si>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</si>
  <si>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</si>
  <si>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</si>
  <si>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1. All pages removed the revision date</t>
  </si>
  <si>
    <t>2. All tax levy fund pages reduced the columns and revised the bottom of pages for see tabs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</si>
  <si>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</si>
  <si>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</si>
  <si>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</si>
  <si>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</si>
  <si>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</si>
  <si>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</si>
  <si>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</si>
  <si>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</si>
  <si>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</si>
  <si>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t>Official Title:</t>
  </si>
  <si>
    <t>City Clerk, City Treasurer, Mayor</t>
  </si>
  <si>
    <t>Local Sales Tax</t>
  </si>
  <si>
    <t>Franchise Tax</t>
  </si>
  <si>
    <t>Licenses</t>
  </si>
  <si>
    <t>Desired Carryover Amount:</t>
  </si>
  <si>
    <t>Estimated Mill Rate Impact:</t>
  </si>
  <si>
    <t xml:space="preserve">Totals </t>
  </si>
  <si>
    <t>Does miscellaneous exceed 10% Total Rec</t>
  </si>
  <si>
    <t>Does miscellaneous exceed 10% Total Exp</t>
  </si>
  <si>
    <t>Does miscellanous exceed 10% Total Exp</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</si>
  <si>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</si>
  <si>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</si>
  <si>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</si>
  <si>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</si>
  <si>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</si>
  <si>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</si>
  <si>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</si>
  <si>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</si>
  <si>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</si>
  <si>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</si>
  <si>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</si>
  <si>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</si>
  <si>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</si>
  <si>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</si>
  <si>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</si>
  <si>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</si>
  <si>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</si>
  <si>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</si>
  <si>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</si>
  <si>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</si>
  <si>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</si>
  <si>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</si>
  <si>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</si>
  <si>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1. Summ tab changed proposed year expenditure column to 'Budget Authority for Expenditures'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</si>
  <si>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</si>
  <si>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</si>
  <si>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</si>
  <si>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</si>
  <si>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</si>
  <si>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</si>
  <si>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</si>
  <si>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</si>
  <si>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</si>
  <si>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</si>
  <si>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</si>
  <si>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</si>
  <si>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</si>
  <si>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</si>
  <si>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</si>
  <si>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</si>
  <si>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</si>
  <si>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</si>
  <si>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</si>
  <si>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</si>
  <si>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</si>
  <si>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</si>
  <si>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</si>
  <si>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</si>
  <si>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</si>
  <si>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</si>
  <si>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</si>
  <si>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</si>
  <si>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</si>
  <si>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</si>
  <si>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</si>
  <si>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</si>
  <si>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</si>
  <si>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</si>
  <si>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 xml:space="preserve"> Debt</t>
  </si>
  <si>
    <t>Type of</t>
  </si>
  <si>
    <t xml:space="preserve"> Purchased</t>
  </si>
  <si>
    <t>Item</t>
  </si>
  <si>
    <t xml:space="preserve">Amounts used in lieu of </t>
  </si>
  <si>
    <t>Library</t>
  </si>
  <si>
    <t>12-1220</t>
  </si>
  <si>
    <t>Delinquency % used in this budget will be shown on all fund pages with a tax levy**</t>
  </si>
  <si>
    <t>Official Name:</t>
  </si>
  <si>
    <t>Expenditures Must Be Changed By:</t>
  </si>
  <si>
    <t>Expenditures Must Be Changed by:</t>
  </si>
  <si>
    <t>WORKSHEET FOR STATE GRANT-IN-AID TO PUBLIC LIBRARIES AND</t>
  </si>
  <si>
    <t>REGIONAL LIBRARY SYSTEMS</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</si>
  <si>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</si>
  <si>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</si>
  <si>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</si>
  <si>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</si>
  <si>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</si>
  <si>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</si>
  <si>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</si>
  <si>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</si>
  <si>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</si>
  <si>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</si>
  <si>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</si>
  <si>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</si>
  <si>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</si>
  <si>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</si>
  <si>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</si>
  <si>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</si>
  <si>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</si>
  <si>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</si>
  <si>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</si>
  <si>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</si>
  <si>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</si>
  <si>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</si>
  <si>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</si>
  <si>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</si>
  <si>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</si>
  <si>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</si>
  <si>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</si>
  <si>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</si>
  <si>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</si>
  <si>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</si>
  <si>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</si>
  <si>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</si>
  <si>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</si>
  <si>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</si>
  <si>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</si>
  <si>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</si>
  <si>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</si>
  <si>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</si>
  <si>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</si>
  <si>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</si>
  <si>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</si>
  <si>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</si>
  <si>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</si>
  <si>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</si>
  <si>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</si>
  <si>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</si>
  <si>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</si>
  <si>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</si>
  <si>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</si>
  <si>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</si>
  <si>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</si>
  <si>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</si>
  <si>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</si>
  <si>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Prior Year </t>
  </si>
  <si>
    <t xml:space="preserve">Current Year </t>
  </si>
  <si>
    <t xml:space="preserve">Proposed Budget </t>
  </si>
  <si>
    <t>34. Certificate tab added a place for the email address of the assisted by</t>
  </si>
  <si>
    <t>1. Library Grant tab, updated State Library e-mail contact address</t>
  </si>
  <si>
    <t>1. Corrected addition computation in column D, inputPrYr tab</t>
  </si>
  <si>
    <t xml:space="preserve">Ad Valorem </t>
  </si>
  <si>
    <t xml:space="preserve">Recreational Vehicle Tax </t>
  </si>
  <si>
    <t xml:space="preserve">16/20M Vehicle Tax </t>
  </si>
  <si>
    <t>1.  Added "ordinance required?  yes/no" message to area adjacent to each tax levy fund</t>
  </si>
  <si>
    <t>1.  Corrected formula in cell e28 of Library Grant tab</t>
  </si>
  <si>
    <t>1.  Instruction tab narrative modification</t>
  </si>
  <si>
    <t>1.  "Budget Authority Amount" cell added to budget year column of all funds.</t>
  </si>
  <si>
    <t>The following changes were made to this workbook on 5/7/14</t>
  </si>
  <si>
    <t>1.  Several changes to workbook associated with 2014 HB 2047.</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</si>
  <si>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</si>
  <si>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</si>
  <si>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</si>
  <si>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</si>
  <si>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</si>
  <si>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</si>
  <si>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6/17/11</t>
  </si>
  <si>
    <t>The following changes were made to this workbook on 4/19/11</t>
  </si>
  <si>
    <t>The following changes were made to this workbook on 1/05/10</t>
  </si>
  <si>
    <t>The following changes were made to this workbook on 12/28/09</t>
  </si>
  <si>
    <t>The following changes were made to this workbook on 12/08/09</t>
  </si>
  <si>
    <t>The following changes were made to this workbook on 10/2/09</t>
  </si>
  <si>
    <t>1.  Correction to formula in cell j44 of the computation tab worksheet.</t>
  </si>
  <si>
    <t>The following changes were made to this workbook on 7/9/14</t>
  </si>
  <si>
    <t>1.  Update of State Library contact name on library grant tab.</t>
  </si>
  <si>
    <t>Input Sheet for City2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</si>
  <si>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</si>
  <si>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</si>
  <si>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</si>
  <si>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</si>
  <si>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</si>
  <si>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</si>
  <si>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How to Compute the Value of One Mill, and the Impact of Tax Dollars and Assessed Valuation on Mill Rates</t>
  </si>
  <si>
    <t>Commercial Vehicle Tax Estimate</t>
  </si>
  <si>
    <t>Watercraft Tax Estimate</t>
  </si>
  <si>
    <t>Comm Veh</t>
  </si>
  <si>
    <t>Watercraft</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</si>
  <si>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</si>
  <si>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</si>
  <si>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</si>
  <si>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</si>
  <si>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</si>
  <si>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</si>
  <si>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</si>
  <si>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</si>
  <si>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</si>
  <si>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</si>
  <si>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 xml:space="preserve">Allocation of MV, RV, 16/20M, Commercial Vehicle, and Watercraft Tax Estimates </t>
  </si>
  <si>
    <t>The following changes were made to this workbook on 1/21/15</t>
  </si>
  <si>
    <t>1.  Inserted 2014 CPI percentage on computation tab.</t>
  </si>
  <si>
    <t>2.  Corrected formula in cell d24 of library grant tab.</t>
  </si>
  <si>
    <t>1.  Inserted 2015 CPI percentage on computation tab.</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</si>
  <si>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</si>
  <si>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</si>
  <si>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</si>
  <si>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</si>
  <si>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Expiration of Property Tax Abatements</t>
  </si>
  <si>
    <t>CPA Summary</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</si>
  <si>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</si>
  <si>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</si>
  <si>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</si>
  <si>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</si>
  <si>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</si>
  <si>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</si>
  <si>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</si>
  <si>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</si>
  <si>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</si>
  <si>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 xml:space="preserve">Please read these instructions carefully.  If after reviewing the instructions you still have questions, contact Municipal Services at 785-296-6033 or 785-296-8083; or via email to armunis@ks.gov. </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</si>
  <si>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</si>
  <si>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</si>
  <si>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</si>
  <si>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</si>
  <si>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</si>
  <si>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</si>
  <si>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Alice.Smith@ks.gov</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</si>
  <si>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</si>
  <si>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</si>
  <si>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</si>
  <si>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</si>
  <si>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</si>
  <si>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Revenue Neutral Rate</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</si>
  <si>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</si>
  <si>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</si>
  <si>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</si>
  <si>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</si>
  <si>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</si>
  <si>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</si>
  <si>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Budget Workbook Instructions</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</si>
  <si>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</si>
  <si>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</si>
  <si>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</si>
  <si>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</si>
  <si>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</si>
  <si>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</si>
  <si>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</si>
  <si>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</si>
  <si>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</si>
  <si>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</si>
  <si>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</si>
  <si>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</si>
  <si>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</si>
  <si>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</si>
  <si>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</si>
  <si>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</si>
  <si>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</si>
  <si>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</si>
  <si>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</si>
  <si>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</si>
  <si>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</si>
  <si>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</si>
  <si>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</si>
  <si>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</si>
  <si>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</si>
  <si>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</si>
  <si>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</si>
  <si>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</si>
  <si>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</si>
  <si>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</si>
  <si>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</si>
  <si>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</si>
  <si>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</si>
  <si>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</si>
  <si>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</si>
  <si>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</si>
  <si>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</si>
  <si>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</si>
  <si>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</si>
  <si>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</si>
  <si>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</si>
  <si>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</si>
  <si>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</si>
  <si>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</si>
  <si>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</si>
  <si>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</si>
  <si>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</si>
  <si>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</si>
  <si>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</si>
  <si>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</si>
  <si>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</si>
  <si>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</si>
  <si>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</si>
  <si>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</si>
  <si>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</si>
  <si>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</si>
  <si>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</si>
  <si>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</si>
  <si>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</si>
  <si>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</si>
  <si>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</si>
  <si>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</si>
  <si>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</si>
  <si>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</si>
  <si>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</si>
  <si>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</si>
  <si>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</si>
  <si>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</si>
  <si>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</si>
  <si>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</si>
  <si>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</si>
  <si>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</si>
  <si>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</si>
  <si>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</si>
  <si>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</si>
  <si>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</si>
  <si>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</si>
  <si>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Tab E</t>
  </si>
  <si>
    <t>Tab A</t>
  </si>
  <si>
    <t>Tab B</t>
  </si>
  <si>
    <t>Tab C</t>
  </si>
  <si>
    <t>Tab D</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</si>
  <si>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</si>
  <si>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</si>
  <si>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</si>
  <si>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</si>
  <si>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</si>
  <si>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</si>
  <si>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</si>
  <si>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</si>
  <si>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</si>
  <si>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</si>
  <si>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</si>
  <si>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</si>
  <si>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</si>
  <si>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</si>
  <si>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</si>
  <si>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</si>
  <si>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</si>
  <si>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</si>
  <si>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</si>
  <si>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</si>
  <si>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From the Municipal Services Website (Budget Workbooks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</si>
  <si>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</si>
  <si>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</si>
  <si>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</si>
  <si>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</si>
  <si>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</si>
  <si>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</si>
  <si>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</si>
  <si>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</si>
  <si>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</si>
  <si>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</si>
  <si>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</si>
  <si>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</si>
  <si>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</si>
  <si>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Budget Hearing Notice</t>
  </si>
  <si>
    <t>Combined Rate and Budget Hearing Notice</t>
  </si>
  <si>
    <t>RNR Hearing Notice</t>
  </si>
  <si>
    <t>***If leasing/renting with no intent to purchase, do not list--such transactions are not lease-purchases.</t>
  </si>
  <si>
    <t>Principal Balance</t>
  </si>
  <si>
    <t>As Beginning of</t>
  </si>
  <si>
    <r>
      <t>As provided in KSA 79-2553</t>
    </r>
    <r>
      <rPr>
        <i/>
        <sz val="12"/>
        <rFont val="Times New Roman"/>
        <family val="1"/>
      </rPr>
      <t xml:space="preserve"> et seq., </t>
    </r>
    <r>
      <rPr>
        <sz val="12"/>
        <rFont val="Times New Roman"/>
        <family val="1"/>
      </rPr>
      <t>two tests are used to determine eligibility for State Library Grant.  If the grant is approved, then the municipality's library will be paid the grant on February 15 of  each year.</t>
    </r>
  </si>
  <si>
    <t>completing the Neighborhood Revitalization Rebate table.</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</si>
  <si>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</si>
  <si>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</si>
  <si>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</si>
  <si>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</si>
  <si>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</si>
  <si>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</si>
  <si>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</si>
  <si>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</si>
  <si>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</si>
  <si>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</si>
  <si>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</si>
  <si>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</si>
  <si>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</si>
  <si>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</si>
  <si>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</si>
  <si>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</si>
  <si>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</si>
  <si>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</si>
  <si>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</si>
  <si>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</si>
  <si>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</si>
  <si>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</si>
  <si>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**Revenue Neutral Rate as defined by KSA 79-2988</t>
  </si>
  <si>
    <t>Budget Authority for Expenditures</t>
  </si>
  <si>
    <t>Actual Tax Rate *</t>
  </si>
  <si>
    <t>Proposed Estimated Tax Rate *</t>
  </si>
  <si>
    <t>Estimated Mill Rate &amp;
 Revenue Neutral Rate Comparison</t>
  </si>
  <si>
    <t>Revenue Neutral Rate (KSA 79-2988)</t>
  </si>
  <si>
    <t>Is a rate hearing/resolution required:</t>
  </si>
  <si>
    <t>Less 2021 Expenditures</t>
  </si>
  <si>
    <t xml:space="preserve">Is rate hearing/resolution required to exceed Revenue Neutral Rate? </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</si>
  <si>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</si>
  <si>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</si>
  <si>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</si>
  <si>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</si>
  <si>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</si>
  <si>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</si>
  <si>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</si>
  <si>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NOTICE OF HEARING TO EXCEED REVENUE NEUTRAL RATE AND BUDGET HEARING</t>
  </si>
  <si>
    <t>Final Tax Rate (County Clerk's Use Only)</t>
  </si>
  <si>
    <t xml:space="preserve">Revenue Neutral Rate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</si>
  <si>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</si>
  <si>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</si>
  <si>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</si>
  <si>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</si>
  <si>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</si>
  <si>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</si>
  <si>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</si>
  <si>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</si>
  <si>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</si>
  <si>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</si>
  <si>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</si>
  <si>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</si>
  <si>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</si>
  <si>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</si>
  <si>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</si>
  <si>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</si>
  <si>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</si>
  <si>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</si>
  <si>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</si>
  <si>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</si>
  <si>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</si>
  <si>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</si>
  <si>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</si>
  <si>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</si>
  <si>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</si>
  <si>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</si>
  <si>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</si>
  <si>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</si>
  <si>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</si>
  <si>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</si>
  <si>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</si>
  <si>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</si>
  <si>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</si>
  <si>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</si>
  <si>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</si>
  <si>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</si>
  <si>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</si>
  <si>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</si>
  <si>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</si>
  <si>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</si>
  <si>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</si>
  <si>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</si>
  <si>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</si>
  <si>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</si>
  <si>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</si>
  <si>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</si>
  <si>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</si>
  <si>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</si>
  <si>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</si>
  <si>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</si>
  <si>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</si>
  <si>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</si>
  <si>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</si>
  <si>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</si>
  <si>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</si>
  <si>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</si>
  <si>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</si>
  <si>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</si>
  <si>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</si>
  <si>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</si>
  <si>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</si>
  <si>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</si>
  <si>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</si>
  <si>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</si>
  <si>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</si>
  <si>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</si>
  <si>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</si>
  <si>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</si>
  <si>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</si>
  <si>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</si>
  <si>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</si>
  <si>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</si>
  <si>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</si>
  <si>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</si>
  <si>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</si>
  <si>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</si>
  <si>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</si>
  <si>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</si>
  <si>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</si>
  <si>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</si>
  <si>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</si>
  <si>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</si>
  <si>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</si>
  <si>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</si>
  <si>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</si>
  <si>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</si>
  <si>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</si>
  <si>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</si>
  <si>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</si>
  <si>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</si>
  <si>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</si>
  <si>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</si>
  <si>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</si>
  <si>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</si>
  <si>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</si>
  <si>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</si>
  <si>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</si>
  <si>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</si>
  <si>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</si>
  <si>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</si>
  <si>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</si>
  <si>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</si>
  <si>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</si>
  <si>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</si>
  <si>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</si>
  <si>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</si>
  <si>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</si>
  <si>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</si>
  <si>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</si>
  <si>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</si>
  <si>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</si>
  <si>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</si>
  <si>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</si>
  <si>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</si>
  <si>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</si>
  <si>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</si>
  <si>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</si>
  <si>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</si>
  <si>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</si>
  <si>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</si>
  <si>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</si>
  <si>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</si>
  <si>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</si>
  <si>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</si>
  <si>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</si>
  <si>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</si>
  <si>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</si>
  <si>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</si>
  <si>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</si>
  <si>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</si>
  <si>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</si>
  <si>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</si>
  <si>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</si>
  <si>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</si>
  <si>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</si>
  <si>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</si>
  <si>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</si>
  <si>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</si>
  <si>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</si>
  <si>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</si>
  <si>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</si>
  <si>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</si>
  <si>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</si>
  <si>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</si>
  <si>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</si>
  <si>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5. Updated spacing and formatting to Tab A, Tab B, Tab C, Tab D and Tab E.</t>
  </si>
  <si>
    <t>The following changes were made to this workbook during February 2022</t>
  </si>
  <si>
    <t>10. Added RNR to Certificate Page</t>
  </si>
  <si>
    <t>5. Updated certificate/table of contents and page numbering for changes</t>
  </si>
  <si>
    <t>The following changes were made to this workbook during March 2020</t>
  </si>
  <si>
    <t>The following changes were made to this workbook during April 2019</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</si>
  <si>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</si>
  <si>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</si>
  <si>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</si>
  <si>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</si>
  <si>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</si>
  <si>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</si>
  <si>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</si>
  <si>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</si>
  <si>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9/22/14</t>
  </si>
  <si>
    <t>The following changes were made to this workbook on 9/16/14</t>
  </si>
  <si>
    <t>1.  Corrected the print margins of the general fund tab.</t>
  </si>
  <si>
    <t>The following changes were made to this workbook on 8/4/14</t>
  </si>
  <si>
    <t>The following changes were made to this workbook on 4/2/14</t>
  </si>
  <si>
    <t>The following changes were made to this workbook on 1/13/14</t>
  </si>
  <si>
    <t>1.  Corrected formulas for column totals on general fund detail page.</t>
  </si>
  <si>
    <t>The following changes were made to this workbook on 3/22/12</t>
  </si>
  <si>
    <t>1. Concantenate at line 9 of the Certificate page changed to reference cell F1</t>
  </si>
  <si>
    <t>2. Corrected misspelling of word "limitations" on line 9 of the Certificate page.</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</si>
  <si>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</si>
  <si>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</si>
  <si>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</si>
  <si>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</si>
  <si>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</si>
  <si>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</si>
  <si>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</si>
  <si>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</si>
  <si>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</si>
  <si>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</si>
  <si>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</si>
  <si>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</si>
  <si>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</si>
  <si>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</si>
  <si>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</si>
  <si>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3. Instruction tab added lines 11c (last year mill rate), 11d (desired mill rate), 10a(project carryover), 10b (Desired Carryover), 10g (project carryover Debt/road, and 14 (protection)</t>
  </si>
  <si>
    <t>14. DebtService tab reduced the Debt Service fund page and added a fund</t>
  </si>
  <si>
    <t>28. Inputoth tab changed Actual Delinquency tax from -2 to -3</t>
  </si>
  <si>
    <t>2. SpecHwy and No Levy Page 12 tabs changed conditional statements</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</si>
  <si>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</si>
  <si>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</si>
  <si>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</si>
  <si>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</si>
  <si>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</si>
  <si>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</si>
  <si>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</si>
  <si>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</si>
  <si>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</si>
  <si>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</si>
  <si>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</si>
  <si>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</si>
  <si>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</si>
  <si>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</si>
  <si>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3a. Made the total expenditures block for the actual and current year to turn 'Red' if violation occurs.</t>
  </si>
  <si>
    <t>6. Neighborhood Revitalization (nhood) took off the protection for the page number and made the estimate rebate round the figures to whole dollars.</t>
  </si>
  <si>
    <t>8. Added to the instruction page lines 11a - 11c to provide a little more insight for the Neighborhood Revitalization rebate.</t>
  </si>
  <si>
    <t>9. Added instruction line 2b to explain how to delete delinquency rate from tax levy fund pages.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</si>
  <si>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</si>
  <si>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</si>
  <si>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</si>
  <si>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</si>
  <si>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</si>
  <si>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</si>
  <si>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</si>
  <si>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</si>
  <si>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</si>
  <si>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7. Added a single page for no tax levy fund page.</t>
  </si>
  <si>
    <t>11. Added Neighborhood Revitalization, LAVTR, City and County Revenue Sharing, and Slider to the input page and to the General Fund page.</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</si>
  <si>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</si>
  <si>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</si>
  <si>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</si>
  <si>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</si>
  <si>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</si>
  <si>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</si>
  <si>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</si>
  <si>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</si>
  <si>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</si>
  <si>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</si>
  <si>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</si>
  <si>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</si>
  <si>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</si>
  <si>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</si>
  <si>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</si>
  <si>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</si>
  <si>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</si>
  <si>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</si>
  <si>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</si>
  <si>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</si>
  <si>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Wellsville</t>
  </si>
  <si>
    <t>Franklin</t>
  </si>
  <si>
    <t>12-16102</t>
  </si>
  <si>
    <t>Library Employee Benefits</t>
  </si>
  <si>
    <t>Special Tort Claim</t>
  </si>
  <si>
    <t>75-6110</t>
  </si>
  <si>
    <t>Building Capital Improvement</t>
  </si>
  <si>
    <t>Cemetary Perpetual Care</t>
  </si>
  <si>
    <t>Combined Sales Tax Improv</t>
  </si>
  <si>
    <t>Community Enhanc Sales Tax</t>
  </si>
  <si>
    <t>Water/Sewer/Refuse Utitly</t>
  </si>
  <si>
    <t>Street Improvement Reserve</t>
  </si>
  <si>
    <t>Public Works Equip Reserve</t>
  </si>
  <si>
    <t>Cap Improve Design</t>
  </si>
  <si>
    <t>Payroll Clearing/Court Bonds</t>
  </si>
  <si>
    <t>Employee Benefit Trust</t>
  </si>
  <si>
    <t>Police Improvement Reserve</t>
  </si>
  <si>
    <t>Fire Improvement Reserve</t>
  </si>
  <si>
    <t>Park Improvement Reserve</t>
  </si>
  <si>
    <t>Grant/Donations Fund</t>
  </si>
  <si>
    <t>Building Permits</t>
  </si>
  <si>
    <t>Police Fines</t>
  </si>
  <si>
    <t>Swimming Pool Admissions</t>
  </si>
  <si>
    <t>Cemetary Fees</t>
  </si>
  <si>
    <t>Fire District Rent Reimbursement</t>
  </si>
  <si>
    <t>Reimbursed Expenses</t>
  </si>
  <si>
    <t>General Admistration Department</t>
  </si>
  <si>
    <t>General Adminstration Court</t>
  </si>
  <si>
    <t>Planning /Engineering Department</t>
  </si>
  <si>
    <t>Pool Operations</t>
  </si>
  <si>
    <t>Police Department</t>
  </si>
  <si>
    <t>Street Department</t>
  </si>
  <si>
    <t>Cementary Maintenance</t>
  </si>
  <si>
    <t>Park Department</t>
  </si>
  <si>
    <t>Animal Shelter</t>
  </si>
  <si>
    <t>Public Works Engineering &amp; Design</t>
  </si>
  <si>
    <t>Public Works Salary/Benefits</t>
  </si>
  <si>
    <t>Police SOR Grant</t>
  </si>
  <si>
    <t>Police Deparrtment Communication</t>
  </si>
  <si>
    <t>Police Designated</t>
  </si>
  <si>
    <t>Police Watchguard Computer System</t>
  </si>
  <si>
    <t>Police Building</t>
  </si>
  <si>
    <t>Transfer to Building Capital Improvement</t>
  </si>
  <si>
    <t>Transfer  to Combined Sales Tax/Street Rab</t>
  </si>
  <si>
    <t>PW Pole Barn</t>
  </si>
  <si>
    <t>PW Backhoe Lease</t>
  </si>
  <si>
    <t>General Fire Department</t>
  </si>
  <si>
    <t>Bond Principal</t>
  </si>
  <si>
    <t>Bond Interest</t>
  </si>
  <si>
    <t>Temporary Note interest</t>
  </si>
  <si>
    <t>Public Works Backhoe</t>
  </si>
  <si>
    <t>2020 Ford Police Car</t>
  </si>
  <si>
    <t xml:space="preserve"> 2020 Ford Police Car</t>
  </si>
  <si>
    <t>Police Building Improv KSB</t>
  </si>
  <si>
    <t>Series 2018 Improvements</t>
  </si>
  <si>
    <t>12/12033</t>
  </si>
  <si>
    <t xml:space="preserve"> Temporary Notes</t>
  </si>
  <si>
    <t>Series 2023 A Temporary Notes</t>
  </si>
  <si>
    <t>Appropiation to Library Board</t>
  </si>
  <si>
    <t>Social Security Payroll Tax</t>
  </si>
  <si>
    <t>Unemployment</t>
  </si>
  <si>
    <t>KPERS Tax</t>
  </si>
  <si>
    <t>Insurance</t>
  </si>
  <si>
    <t>Transfer to Employee Benefit Trust</t>
  </si>
  <si>
    <t>Insurance Property Liability</t>
  </si>
  <si>
    <t>Weed Control</t>
  </si>
  <si>
    <t>Police Department Vehicle 2023</t>
  </si>
  <si>
    <t>Police Department 2 Vehicle &amp; Equip 2024</t>
  </si>
  <si>
    <t>Police Drone 2024</t>
  </si>
  <si>
    <t>Police Computer Tyler Tech/Motorola</t>
  </si>
  <si>
    <t>Police SRO Reimbursement</t>
  </si>
  <si>
    <t>Public Works Excavator Lease</t>
  </si>
  <si>
    <t>Public Works Equip Truck Lease</t>
  </si>
  <si>
    <t>Tammy Jones</t>
  </si>
  <si>
    <t>City Clerk</t>
  </si>
  <si>
    <t>August 30, 2023</t>
  </si>
  <si>
    <t>6.pm</t>
  </si>
  <si>
    <t>Public Works  Mowers</t>
  </si>
  <si>
    <t xml:space="preserve">  Capital Outlay </t>
  </si>
  <si>
    <t>Public Works Tree</t>
  </si>
  <si>
    <t>Public Works  Asset Software</t>
  </si>
  <si>
    <t>Police COPS Grant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</si>
</sst>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
    <numFmt numFmtId="171" formatCode="#,##0.000"/>
    <numFmt numFmtId="172" formatCode="&quot;$&quot;#,##0"/>
    <numFmt numFmtId="173" formatCode="&quot;$&quot;#,##0.00"/>
    <numFmt numFmtId="174" formatCode="#,###"/>
    <numFmt numFmtId="175" formatCode="0.0%"/>
    <numFmt numFmtId="176" formatCode="#,##0.000_);[Red]\(#,##0.000\)"/>
  </numFmts>
  <fonts count="67" x14ac:knownFonts="1">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sz val="12"/>
      <name val="Courier"/>
      <family val="3"/>
    </font>
    <font>
      <sz val="12"/>
      <name val="Courier New"/>
      <family val="3"/>
    </font>
    <font>
      <sz val="9"/>
      <color indexed="10"/>
      <name val="Times New Roman"/>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color indexed="10"/>
      <name val="Times New Roman"/>
      <family val="1"/>
    </font>
    <font>
      <sz val="10"/>
      <name val="Courier"/>
      <family val="3"/>
    </font>
    <font>
      <u/>
      <sz val="12"/>
      <color indexed="12"/>
      <name val="Courier New"/>
      <family val="3"/>
    </font>
    <font>
      <sz val="11"/>
      <color theme="1"/>
      <name val="Calibri"/>
      <family val="2"/>
      <scheme val="minor"/>
    </font>
    <font>
      <u/>
      <sz val="12"/>
      <color rgb="FFFF0000"/>
      <name val="Times New Roman"/>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b/>
      <u/>
      <sz val="12"/>
      <color rgb="FFFF0000"/>
      <name val="Times New Roman"/>
      <family val="1"/>
    </font>
    <font>
      <u/>
      <vertAlign val="superscript"/>
      <sz val="12"/>
      <name val="Times New Roman"/>
      <family val="1"/>
    </font>
    <font>
      <sz val="11"/>
      <name val="Calibri"/>
      <family val="2"/>
    </font>
    <font>
      <sz val="7"/>
      <name val="Times New Roman"/>
      <family val="1"/>
    </font>
    <font>
      <b/>
      <sz val="16"/>
      <name val="Times New Roman"/>
      <family val="1"/>
    </font>
    <font>
      <b/>
      <u/>
      <sz val="16"/>
      <name val="Times New Roman"/>
      <family val="1"/>
    </font>
    <font>
      <sz val="14"/>
      <name val="Times New Roman"/>
      <family val="1"/>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
      <sz val="12"/>
      <name val="Calibri"/>
      <family val="2"/>
      <scheme val="minor"/>
    </font>
    <font>
      <b/>
      <sz val="14"/>
      <name val="Calibri"/>
      <family val="2"/>
      <scheme val="minor"/>
    </font>
    <font>
      <u/>
      <sz val="12"/>
      <name val="Calibri"/>
      <family val="2"/>
      <scheme val="minor"/>
    </font>
    <font>
      <b/>
      <sz val="13"/>
      <name val="Calibri"/>
      <family val="2"/>
      <scheme val="minor"/>
    </font>
    <font>
      <b/>
      <sz val="12"/>
      <name val="Calibri"/>
      <family val="2"/>
      <scheme val="minor"/>
    </font>
  </fonts>
  <fills count="21">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51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6"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7"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7" fillId="0" borderId="0"/>
    <xf numFmtId="0" fontId="27" fillId="0" borderId="0"/>
    <xf numFmtId="0" fontId="27" fillId="0" borderId="0"/>
    <xf numFmtId="0" fontId="2" fillId="0" borderId="0"/>
    <xf numFmtId="0" fontId="2" fillId="0" borderId="0"/>
    <xf numFmtId="0" fontId="2"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7" fillId="0" borderId="0"/>
    <xf numFmtId="0" fontId="29"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 fillId="0" borderId="0"/>
    <xf numFmtId="0" fontId="2"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 fillId="0" borderId="0"/>
    <xf numFmtId="0" fontId="27" fillId="0" borderId="0"/>
    <xf numFmtId="0" fontId="26" fillId="0" borderId="0"/>
    <xf numFmtId="0" fontId="2" fillId="0" borderId="0"/>
    <xf numFmtId="0" fontId="2" fillId="0" borderId="0"/>
    <xf numFmtId="0" fontId="27" fillId="0" borderId="0"/>
    <xf numFmtId="0" fontId="27" fillId="0" borderId="0"/>
    <xf numFmtId="0" fontId="2" fillId="0" borderId="0"/>
    <xf numFmtId="0" fontId="27" fillId="0" borderId="0"/>
    <xf numFmtId="0" fontId="26" fillId="0" borderId="0"/>
    <xf numFmtId="0" fontId="2" fillId="0" borderId="0"/>
    <xf numFmtId="0" fontId="26"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6" fillId="0" borderId="0"/>
    <xf numFmtId="0" fontId="2" fillId="0" borderId="0"/>
    <xf numFmtId="0" fontId="27" fillId="0" borderId="0"/>
    <xf numFmtId="0" fontId="27" fillId="0" borderId="0"/>
    <xf numFmtId="0" fontId="2" fillId="0" borderId="0"/>
    <xf numFmtId="0" fontId="26" fillId="0" borderId="0"/>
    <xf numFmtId="0" fontId="2" fillId="0" borderId="0"/>
    <xf numFmtId="0" fontId="2" fillId="0" borderId="0"/>
    <xf numFmtId="0" fontId="27" fillId="0" borderId="0"/>
    <xf numFmtId="0" fontId="26" fillId="0" borderId="0"/>
    <xf numFmtId="0" fontId="2" fillId="0" borderId="0"/>
    <xf numFmtId="0" fontId="26" fillId="0" borderId="0"/>
    <xf numFmtId="0" fontId="2" fillId="0" borderId="0"/>
    <xf numFmtId="0" fontId="2" fillId="0" borderId="0"/>
    <xf numFmtId="0" fontId="27" fillId="0" borderId="0"/>
    <xf numFmtId="0" fontId="26"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7" fillId="0" borderId="0"/>
    <xf numFmtId="0" fontId="27" fillId="0" borderId="0"/>
    <xf numFmtId="0" fontId="26" fillId="0" borderId="0"/>
    <xf numFmtId="0" fontId="2" fillId="0" borderId="0"/>
    <xf numFmtId="0" fontId="2" fillId="0" borderId="0"/>
    <xf numFmtId="0" fontId="27" fillId="0" borderId="0"/>
    <xf numFmtId="0" fontId="2" fillId="0" borderId="0"/>
    <xf numFmtId="0" fontId="2" fillId="0" borderId="0"/>
    <xf numFmtId="0" fontId="27" fillId="0" borderId="0"/>
    <xf numFmtId="0" fontId="26"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6" fillId="0" borderId="0"/>
    <xf numFmtId="0" fontId="2" fillId="0" borderId="0"/>
    <xf numFmtId="0" fontId="2" fillId="0" borderId="0"/>
    <xf numFmtId="0" fontId="27" fillId="0" borderId="0"/>
    <xf numFmtId="0" fontId="2" fillId="0" borderId="0"/>
    <xf numFmtId="0" fontId="2" fillId="0" borderId="0"/>
    <xf numFmtId="0" fontId="27" fillId="0" borderId="0"/>
    <xf numFmtId="0" fontId="26"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7"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6" fillId="0" borderId="0"/>
    <xf numFmtId="0" fontId="2"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6"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4" fillId="0" borderId="0"/>
  </cellStyleXfs>
  <cellXfs count="782">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protection locked="0"/>
    </xf>
    <xf numFmtId="0" fontId="4" fillId="3" borderId="2" xfId="0" applyFont="1" applyFill="1" applyBorder="1"/>
    <xf numFmtId="0" fontId="4" fillId="3" borderId="0" xfId="0" applyFont="1" applyFill="1"/>
    <xf numFmtId="0" fontId="4" fillId="3" borderId="0" xfId="0" applyFont="1" applyFill="1" applyAlignment="1">
      <alignment horizontal="right"/>
    </xf>
    <xf numFmtId="37" fontId="4" fillId="3" borderId="0" xfId="0" applyNumberFormat="1" applyFont="1" applyFill="1" applyAlignment="1">
      <alignment horizontal="right"/>
    </xf>
    <xf numFmtId="0" fontId="4" fillId="3" borderId="0" xfId="0" applyFont="1" applyFill="1" applyAlignment="1">
      <alignment horizontal="centerContinuous"/>
    </xf>
    <xf numFmtId="0" fontId="4" fillId="3" borderId="3" xfId="0" applyFont="1" applyFill="1" applyBorder="1"/>
    <xf numFmtId="37" fontId="4" fillId="3" borderId="0" xfId="0" applyNumberFormat="1" applyFont="1" applyFill="1"/>
    <xf numFmtId="0" fontId="3" fillId="3" borderId="0" xfId="510" applyFont="1" applyFill="1" applyAlignment="1">
      <alignment horizontal="centerContinuous"/>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applyAlignment="1">
      <alignment horizontal="fill"/>
    </xf>
    <xf numFmtId="0" fontId="3" fillId="3" borderId="0" xfId="0" applyFont="1" applyFill="1" applyAlignment="1">
      <alignment horizontal="left"/>
    </xf>
    <xf numFmtId="0" fontId="6" fillId="3" borderId="5" xfId="0" applyFont="1" applyFill="1" applyBorder="1" applyAlignment="1">
      <alignment horizontal="center"/>
    </xf>
    <xf numFmtId="0" fontId="4" fillId="3" borderId="0" xfId="0" applyFont="1" applyFill="1" applyAlignment="1">
      <alignment horizontal="center"/>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3" fontId="3" fillId="4" borderId="6" xfId="0" applyNumberFormat="1" applyFont="1" applyFill="1" applyBorder="1" applyAlignment="1">
      <alignment horizontal="center"/>
    </xf>
    <xf numFmtId="14" fontId="4" fillId="2" borderId="1" xfId="0" applyNumberFormat="1" applyFont="1" applyFill="1" applyBorder="1" applyAlignment="1" applyProtection="1">
      <alignment horizontal="center"/>
      <protection locked="0"/>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pplyProtection="1">
      <alignment vertical="center"/>
      <protection locked="0"/>
    </xf>
    <xf numFmtId="37" fontId="3" fillId="3" borderId="0" xfId="0" applyNumberFormat="1" applyFont="1" applyFill="1" applyAlignment="1">
      <alignment horizontal="left" vertical="center"/>
    </xf>
    <xf numFmtId="0" fontId="4" fillId="3" borderId="0" xfId="0" applyFont="1" applyFill="1" applyAlignment="1">
      <alignment vertical="center"/>
    </xf>
    <xf numFmtId="37" fontId="4" fillId="3" borderId="0" xfId="0" applyNumberFormat="1" applyFont="1" applyFill="1" applyAlignment="1">
      <alignment horizontal="left" vertical="center"/>
    </xf>
    <xf numFmtId="37" fontId="4" fillId="3" borderId="0" xfId="0" applyNumberFormat="1" applyFont="1" applyFill="1" applyAlignment="1" applyProtection="1">
      <alignment horizontal="left" vertical="center"/>
      <protection locked="0"/>
    </xf>
    <xf numFmtId="0" fontId="3" fillId="6" borderId="1" xfId="0" applyFont="1" applyFill="1" applyBorder="1" applyAlignment="1" applyProtection="1">
      <alignment horizontal="center" vertical="center"/>
      <protection locked="0"/>
    </xf>
    <xf numFmtId="37" fontId="3" fillId="3" borderId="0" xfId="0" applyNumberFormat="1" applyFont="1" applyFill="1" applyAlignment="1">
      <alignment horizontal="centerContinuous" vertical="center"/>
    </xf>
    <xf numFmtId="0" fontId="4" fillId="3" borderId="0" xfId="0" applyFont="1" applyFill="1" applyAlignment="1">
      <alignment horizontal="centerContinuous" vertical="center"/>
    </xf>
    <xf numFmtId="0" fontId="4" fillId="7" borderId="3" xfId="0" applyFont="1" applyFill="1" applyBorder="1" applyAlignment="1">
      <alignment horizontal="center" vertical="center"/>
    </xf>
    <xf numFmtId="37" fontId="4" fillId="3" borderId="7" xfId="0" applyNumberFormat="1" applyFont="1" applyFill="1" applyBorder="1" applyAlignment="1">
      <alignment horizontal="center" vertical="center"/>
    </xf>
    <xf numFmtId="37" fontId="4" fillId="7" borderId="5" xfId="0" applyNumberFormat="1" applyFont="1" applyFill="1" applyBorder="1" applyAlignment="1">
      <alignment horizontal="center" vertical="center"/>
    </xf>
    <xf numFmtId="37" fontId="4" fillId="3" borderId="1" xfId="0" applyNumberFormat="1" applyFont="1" applyFill="1" applyBorder="1" applyAlignment="1">
      <alignment horizontal="left" vertical="center"/>
    </xf>
    <xf numFmtId="0" fontId="4" fillId="3" borderId="1" xfId="0" applyFont="1" applyFill="1" applyBorder="1" applyAlignment="1">
      <alignment vertical="center"/>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2" xfId="0" applyNumberFormat="1" applyFont="1" applyFill="1" applyBorder="1" applyAlignment="1">
      <alignment horizontal="left" vertical="center"/>
    </xf>
    <xf numFmtId="0" fontId="4" fillId="3" borderId="2" xfId="0" applyFont="1" applyFill="1" applyBorder="1" applyAlignment="1">
      <alignment vertical="center"/>
    </xf>
    <xf numFmtId="0" fontId="4" fillId="3" borderId="8" xfId="0" applyFont="1" applyFill="1" applyBorder="1" applyAlignment="1">
      <alignment vertical="center"/>
    </xf>
    <xf numFmtId="37" fontId="4" fillId="3" borderId="9" xfId="0" applyNumberFormat="1" applyFont="1" applyFill="1" applyBorder="1" applyAlignment="1">
      <alignment vertical="center"/>
    </xf>
    <xf numFmtId="37" fontId="4" fillId="4" borderId="9" xfId="0" applyNumberFormat="1" applyFont="1" applyFill="1" applyBorder="1" applyAlignment="1">
      <alignment vertical="center"/>
    </xf>
    <xf numFmtId="37" fontId="4" fillId="3" borderId="0" xfId="0" applyNumberFormat="1" applyFont="1" applyFill="1" applyAlignment="1">
      <alignment vertical="center"/>
    </xf>
    <xf numFmtId="164" fontId="4" fillId="2" borderId="1" xfId="0" applyNumberFormat="1" applyFont="1" applyFill="1" applyBorder="1" applyAlignment="1" applyProtection="1">
      <alignment vertical="center"/>
      <protection locked="0"/>
    </xf>
    <xf numFmtId="0" fontId="4" fillId="3" borderId="7" xfId="0" applyFont="1" applyFill="1" applyBorder="1" applyAlignment="1">
      <alignment vertical="center"/>
    </xf>
    <xf numFmtId="3" fontId="4" fillId="4" borderId="1" xfId="0" applyNumberFormat="1" applyFont="1" applyFill="1" applyBorder="1" applyAlignment="1">
      <alignment vertical="center"/>
    </xf>
    <xf numFmtId="3" fontId="4" fillId="3" borderId="0" xfId="0" applyNumberFormat="1" applyFont="1" applyFill="1" applyAlignment="1" applyProtection="1">
      <alignment vertical="center"/>
      <protection locked="0"/>
    </xf>
    <xf numFmtId="37" fontId="4" fillId="3" borderId="1" xfId="0" applyNumberFormat="1" applyFont="1" applyFill="1" applyBorder="1" applyAlignment="1">
      <alignment vertical="center"/>
    </xf>
    <xf numFmtId="164" fontId="4" fillId="4" borderId="1" xfId="0" applyNumberFormat="1" applyFont="1" applyFill="1" applyBorder="1" applyAlignment="1">
      <alignment vertical="center"/>
    </xf>
    <xf numFmtId="0" fontId="4" fillId="3" borderId="9" xfId="0" applyFont="1" applyFill="1" applyBorder="1" applyAlignment="1">
      <alignment vertical="center"/>
    </xf>
    <xf numFmtId="0" fontId="5" fillId="3" borderId="0" xfId="0" applyFont="1" applyFill="1" applyAlignment="1">
      <alignment horizontal="center" vertical="center"/>
    </xf>
    <xf numFmtId="3" fontId="4" fillId="3" borderId="0" xfId="0" applyNumberFormat="1" applyFont="1" applyFill="1" applyAlignment="1">
      <alignment vertical="center"/>
    </xf>
    <xf numFmtId="0" fontId="4" fillId="3" borderId="0" xfId="0" applyFont="1" applyFill="1" applyAlignment="1" applyProtection="1">
      <alignment vertical="center"/>
      <protection locked="0"/>
    </xf>
    <xf numFmtId="0" fontId="4" fillId="3" borderId="2" xfId="0" applyFont="1" applyFill="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3" fontId="4" fillId="6" borderId="1" xfId="0" applyNumberFormat="1" applyFont="1" applyFill="1" applyBorder="1" applyAlignment="1" applyProtection="1">
      <alignment vertical="center"/>
      <protection locked="0"/>
    </xf>
    <xf numFmtId="0" fontId="4" fillId="8" borderId="8" xfId="0" applyFont="1" applyFill="1" applyBorder="1" applyAlignment="1">
      <alignment vertical="center"/>
    </xf>
    <xf numFmtId="0" fontId="4" fillId="3" borderId="9" xfId="0" applyFont="1" applyFill="1" applyBorder="1" applyAlignment="1" applyProtection="1">
      <alignment vertical="center"/>
      <protection locked="0"/>
    </xf>
    <xf numFmtId="0" fontId="0" fillId="0" borderId="0" xfId="0" applyAlignment="1">
      <alignment vertical="center"/>
    </xf>
    <xf numFmtId="37" fontId="4" fillId="3" borderId="8" xfId="0" applyNumberFormat="1" applyFont="1" applyFill="1" applyBorder="1" applyAlignment="1">
      <alignment horizontal="left" vertical="center"/>
    </xf>
    <xf numFmtId="37" fontId="4" fillId="6" borderId="1" xfId="0" applyNumberFormat="1" applyFont="1" applyFill="1" applyBorder="1" applyAlignment="1" applyProtection="1">
      <alignment vertical="center"/>
      <protection locked="0"/>
    </xf>
    <xf numFmtId="37" fontId="3" fillId="3" borderId="8" xfId="0" applyNumberFormat="1" applyFont="1" applyFill="1" applyBorder="1" applyAlignment="1">
      <alignment horizontal="left" vertical="center"/>
    </xf>
    <xf numFmtId="0" fontId="11" fillId="3" borderId="0" xfId="0" applyFont="1" applyFill="1" applyAlignment="1">
      <alignment horizontal="center" vertical="center"/>
    </xf>
    <xf numFmtId="0" fontId="4" fillId="3" borderId="10" xfId="0" applyFont="1" applyFill="1" applyBorder="1" applyAlignment="1">
      <alignment vertical="center"/>
    </xf>
    <xf numFmtId="0" fontId="0" fillId="3" borderId="2" xfId="0" applyFill="1" applyBorder="1" applyAlignment="1">
      <alignment vertical="center"/>
    </xf>
    <xf numFmtId="3" fontId="4" fillId="3" borderId="7" xfId="0" applyNumberFormat="1" applyFont="1" applyFill="1" applyBorder="1" applyAlignment="1">
      <alignment vertical="center"/>
    </xf>
    <xf numFmtId="3" fontId="4" fillId="3" borderId="9" xfId="0" applyNumberFormat="1"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5" borderId="0" xfId="0" applyFill="1" applyAlignment="1">
      <alignment vertical="center"/>
    </xf>
    <xf numFmtId="0" fontId="4" fillId="7" borderId="5" xfId="0" applyFont="1" applyFill="1" applyBorder="1" applyAlignment="1">
      <alignment horizontal="center" vertical="center"/>
    </xf>
    <xf numFmtId="0" fontId="14" fillId="3" borderId="0" xfId="0" applyFont="1" applyFill="1" applyAlignment="1">
      <alignment vertical="center"/>
    </xf>
    <xf numFmtId="0" fontId="17" fillId="3" borderId="0" xfId="0" applyFont="1" applyFill="1" applyAlignment="1">
      <alignment vertical="center"/>
    </xf>
    <xf numFmtId="0" fontId="4" fillId="3" borderId="0" xfId="0" applyFont="1" applyFill="1" applyAlignment="1">
      <alignment horizontal="right" vertical="center"/>
    </xf>
    <xf numFmtId="37" fontId="4" fillId="3" borderId="0" xfId="0" applyNumberFormat="1" applyFont="1" applyFill="1" applyAlignment="1">
      <alignment horizontal="centerContinuous" vertical="center"/>
    </xf>
    <xf numFmtId="37" fontId="4" fillId="3" borderId="11" xfId="0" applyNumberFormat="1"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9" xfId="0" applyFont="1" applyFill="1" applyBorder="1" applyAlignment="1">
      <alignment horizontal="centerContinuous" vertical="center"/>
    </xf>
    <xf numFmtId="37" fontId="4" fillId="3" borderId="2" xfId="0" applyNumberFormat="1" applyFont="1" applyFill="1" applyBorder="1" applyAlignment="1">
      <alignment horizontal="fill" vertical="center"/>
    </xf>
    <xf numFmtId="37" fontId="4" fillId="3" borderId="3" xfId="0" applyNumberFormat="1" applyFont="1" applyFill="1" applyBorder="1" applyAlignment="1">
      <alignment horizontal="left" vertical="center"/>
    </xf>
    <xf numFmtId="37" fontId="4" fillId="3" borderId="3" xfId="0" applyNumberFormat="1" applyFont="1" applyFill="1" applyBorder="1" applyAlignment="1">
      <alignment horizontal="center" vertical="center"/>
    </xf>
    <xf numFmtId="37" fontId="4" fillId="3"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37" fontId="3" fillId="3" borderId="2" xfId="0" applyNumberFormat="1" applyFont="1" applyFill="1" applyBorder="1" applyAlignment="1">
      <alignment horizontal="left" vertical="center"/>
    </xf>
    <xf numFmtId="37" fontId="4" fillId="3" borderId="5" xfId="0" applyNumberFormat="1" applyFont="1" applyFill="1" applyBorder="1" applyAlignment="1">
      <alignment horizontal="center" vertical="center"/>
    </xf>
    <xf numFmtId="0" fontId="4" fillId="3" borderId="5" xfId="0" applyFont="1" applyFill="1" applyBorder="1" applyAlignment="1">
      <alignment horizontal="center" vertical="center"/>
    </xf>
    <xf numFmtId="37" fontId="4" fillId="3" borderId="11" xfId="0" applyNumberFormat="1" applyFont="1" applyFill="1" applyBorder="1" applyAlignment="1">
      <alignment horizontal="left" vertical="center"/>
    </xf>
    <xf numFmtId="37" fontId="4" fillId="3" borderId="1" xfId="0" applyNumberFormat="1"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37" fontId="11" fillId="3" borderId="11" xfId="0" applyNumberFormat="1" applyFont="1" applyFill="1" applyBorder="1" applyAlignment="1">
      <alignment horizontal="left" vertical="center"/>
    </xf>
    <xf numFmtId="37" fontId="11" fillId="3" borderId="9"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vertical="center"/>
    </xf>
    <xf numFmtId="37" fontId="4" fillId="4" borderId="1" xfId="0" applyNumberFormat="1" applyFont="1" applyFill="1" applyBorder="1" applyAlignment="1">
      <alignment horizontal="center" vertical="center"/>
    </xf>
    <xf numFmtId="37" fontId="4" fillId="3" borderId="11" xfId="0" applyNumberFormat="1" applyFont="1" applyFill="1" applyBorder="1" applyAlignment="1">
      <alignment vertical="center"/>
    </xf>
    <xf numFmtId="0" fontId="4" fillId="3" borderId="9" xfId="0" applyFont="1" applyFill="1" applyBorder="1" applyAlignment="1">
      <alignment horizontal="center" vertical="center"/>
    </xf>
    <xf numFmtId="37" fontId="4" fillId="3" borderId="9" xfId="0" applyNumberFormat="1"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37" fontId="4" fillId="3" borderId="0" xfId="0" applyNumberFormat="1" applyFont="1" applyFill="1" applyAlignment="1">
      <alignment horizontal="righ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3" fontId="4" fillId="3" borderId="2" xfId="0" applyNumberFormat="1" applyFont="1" applyFill="1" applyBorder="1" applyAlignment="1">
      <alignment vertical="center"/>
    </xf>
    <xf numFmtId="3" fontId="4" fillId="3" borderId="10" xfId="0" applyNumberFormat="1" applyFont="1" applyFill="1" applyBorder="1" applyAlignment="1">
      <alignment vertical="center"/>
    </xf>
    <xf numFmtId="0" fontId="4" fillId="3" borderId="2" xfId="0" applyFont="1" applyFill="1" applyBorder="1" applyAlignment="1">
      <alignment horizontal="centerContinuous" vertical="center"/>
    </xf>
    <xf numFmtId="0" fontId="4" fillId="3" borderId="3" xfId="0" applyFont="1" applyFill="1" applyBorder="1" applyAlignment="1">
      <alignment horizontal="center" vertical="center"/>
    </xf>
    <xf numFmtId="166" fontId="4" fillId="3" borderId="0" xfId="0" applyNumberFormat="1" applyFont="1" applyFill="1" applyAlignment="1">
      <alignment vertical="center"/>
    </xf>
    <xf numFmtId="37" fontId="4" fillId="3" borderId="2" xfId="0" applyNumberFormat="1" applyFont="1" applyFill="1" applyBorder="1" applyAlignment="1">
      <alignment vertical="center"/>
    </xf>
    <xf numFmtId="165" fontId="4" fillId="4" borderId="2" xfId="0" applyNumberFormat="1" applyFont="1" applyFill="1" applyBorder="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1" fontId="4" fillId="3" borderId="5" xfId="0" applyNumberFormat="1" applyFont="1" applyFill="1" applyBorder="1" applyAlignment="1">
      <alignment horizontal="center" vertical="center"/>
    </xf>
    <xf numFmtId="0" fontId="4" fillId="6" borderId="5" xfId="0" applyFont="1" applyFill="1" applyBorder="1" applyAlignment="1" applyProtection="1">
      <alignment vertical="center"/>
      <protection locked="0"/>
    </xf>
    <xf numFmtId="169" fontId="4" fillId="6" borderId="5" xfId="1"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69" fontId="4" fillId="6" borderId="1" xfId="1"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lignment horizontal="center" vertical="center"/>
    </xf>
    <xf numFmtId="0" fontId="4" fillId="6" borderId="1" xfId="0" applyFont="1" applyFill="1" applyBorder="1" applyAlignment="1" applyProtection="1">
      <alignment horizontal="center" vertical="center"/>
      <protection locked="0"/>
    </xf>
    <xf numFmtId="1" fontId="4" fillId="3" borderId="0" xfId="0" applyNumberFormat="1" applyFont="1" applyFill="1" applyAlignment="1">
      <alignment horizontal="right" vertical="center"/>
    </xf>
    <xf numFmtId="0" fontId="3" fillId="3" borderId="0" xfId="510" applyFont="1" applyFill="1" applyAlignment="1">
      <alignment horizontal="centerContinuous" vertical="center"/>
    </xf>
    <xf numFmtId="0" fontId="4" fillId="3" borderId="2" xfId="0" applyFont="1" applyFill="1" applyBorder="1" applyAlignment="1">
      <alignment horizontal="fill" vertical="center"/>
    </xf>
    <xf numFmtId="0" fontId="4" fillId="3" borderId="14" xfId="0" applyFont="1" applyFill="1" applyBorder="1" applyAlignment="1">
      <alignment horizontal="centerContinuous" vertical="center"/>
    </xf>
    <xf numFmtId="0" fontId="4" fillId="3" borderId="13" xfId="0" applyFont="1" applyFill="1" applyBorder="1" applyAlignment="1">
      <alignment horizontal="centerContinuous" vertical="center"/>
    </xf>
    <xf numFmtId="1" fontId="4" fillId="3" borderId="15" xfId="0" applyNumberFormat="1" applyFont="1" applyFill="1" applyBorder="1" applyAlignment="1">
      <alignment horizontal="center" vertical="center"/>
    </xf>
    <xf numFmtId="0" fontId="4" fillId="3" borderId="1" xfId="0" applyFont="1" applyFill="1" applyBorder="1" applyAlignment="1">
      <alignment horizontal="left" vertical="center"/>
    </xf>
    <xf numFmtId="2" fontId="4" fillId="3" borderId="1" xfId="0" applyNumberFormat="1" applyFont="1" applyFill="1" applyBorder="1" applyAlignment="1">
      <alignment vertical="center"/>
    </xf>
    <xf numFmtId="3" fontId="4" fillId="3" borderId="1" xfId="0" applyNumberFormat="1" applyFont="1" applyFill="1" applyBorder="1" applyAlignment="1">
      <alignment vertical="center"/>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7" fontId="4" fillId="2" borderId="1" xfId="0" applyNumberFormat="1" applyFont="1" applyFill="1" applyBorder="1" applyAlignment="1" applyProtection="1">
      <alignment horizontal="center" vertical="center"/>
      <protection locked="0"/>
    </xf>
    <xf numFmtId="168"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lignment horizontal="left" vertical="center"/>
    </xf>
    <xf numFmtId="167"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7" fontId="3" fillId="4" borderId="1" xfId="0" applyNumberFormat="1" applyFont="1" applyFill="1" applyBorder="1" applyAlignment="1">
      <alignment horizontal="center" vertical="center"/>
    </xf>
    <xf numFmtId="168" fontId="3" fillId="3" borderId="1"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3" fillId="3" borderId="0" xfId="0" applyFont="1" applyFill="1" applyAlignment="1">
      <alignment vertical="center"/>
    </xf>
    <xf numFmtId="0" fontId="4" fillId="3" borderId="0" xfId="0" applyFont="1" applyFill="1" applyAlignment="1">
      <alignment horizontal="fill" vertical="center"/>
    </xf>
    <xf numFmtId="0" fontId="4" fillId="3" borderId="11" xfId="0" applyFont="1" applyFill="1" applyBorder="1" applyAlignment="1">
      <alignment horizontal="left" vertical="center"/>
    </xf>
    <xf numFmtId="37" fontId="4" fillId="2" borderId="11" xfId="0" applyNumberFormat="1" applyFont="1" applyFill="1" applyBorder="1" applyAlignment="1" applyProtection="1">
      <alignment vertical="center"/>
      <protection locked="0"/>
    </xf>
    <xf numFmtId="37" fontId="4" fillId="2" borderId="9" xfId="0" applyNumberFormat="1" applyFont="1" applyFill="1" applyBorder="1" applyAlignment="1" applyProtection="1">
      <alignment vertical="center"/>
      <protection locked="0"/>
    </xf>
    <xf numFmtId="3" fontId="4" fillId="3" borderId="11" xfId="0" applyNumberFormat="1" applyFont="1" applyFill="1" applyBorder="1" applyAlignment="1">
      <alignment vertical="center"/>
    </xf>
    <xf numFmtId="0" fontId="4" fillId="3" borderId="15" xfId="0" applyFont="1" applyFill="1" applyBorder="1" applyAlignment="1">
      <alignment horizontal="left" vertical="center"/>
    </xf>
    <xf numFmtId="3" fontId="4" fillId="2" borderId="11"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protection locked="0"/>
    </xf>
    <xf numFmtId="37" fontId="4" fillId="3" borderId="1" xfId="0" applyNumberFormat="1" applyFont="1" applyFill="1" applyBorder="1" applyAlignment="1">
      <alignment horizontal="fill" vertical="center"/>
    </xf>
    <xf numFmtId="37" fontId="4" fillId="2" borderId="1"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protection locked="0"/>
    </xf>
    <xf numFmtId="37" fontId="14" fillId="9" borderId="11" xfId="0" applyNumberFormat="1" applyFont="1" applyFill="1" applyBorder="1" applyAlignment="1">
      <alignment horizontal="center" vertical="center"/>
    </xf>
    <xf numFmtId="37" fontId="14" fillId="9" borderId="9" xfId="0" applyNumberFormat="1" applyFont="1" applyFill="1" applyBorder="1" applyAlignment="1">
      <alignment horizontal="center" vertical="center"/>
    </xf>
    <xf numFmtId="37" fontId="3" fillId="3" borderId="11" xfId="0" applyNumberFormat="1" applyFont="1" applyFill="1" applyBorder="1" applyAlignment="1">
      <alignment horizontal="left" vertical="center"/>
    </xf>
    <xf numFmtId="37" fontId="3" fillId="4" borderId="1" xfId="0" applyNumberFormat="1" applyFont="1" applyFill="1" applyBorder="1" applyAlignment="1">
      <alignment vertical="center"/>
    </xf>
    <xf numFmtId="3" fontId="3" fillId="4" borderId="11" xfId="0" applyNumberFormat="1" applyFont="1" applyFill="1" applyBorder="1" applyAlignment="1">
      <alignment vertical="center"/>
    </xf>
    <xf numFmtId="3" fontId="3" fillId="4" borderId="1" xfId="0" applyNumberFormat="1" applyFont="1" applyFill="1" applyBorder="1" applyAlignment="1">
      <alignment vertical="center"/>
    </xf>
    <xf numFmtId="0" fontId="3" fillId="3" borderId="0" xfId="0" applyFont="1" applyFill="1" applyAlignment="1">
      <alignment horizontal="left" vertical="center"/>
    </xf>
    <xf numFmtId="0" fontId="3" fillId="3" borderId="11" xfId="0" applyFont="1" applyFill="1" applyBorder="1" applyAlignment="1">
      <alignment horizontal="left" vertical="center"/>
    </xf>
    <xf numFmtId="3" fontId="4" fillId="4" borderId="11" xfId="0" applyNumberFormat="1" applyFont="1" applyFill="1" applyBorder="1" applyAlignment="1">
      <alignment vertical="center"/>
    </xf>
    <xf numFmtId="3" fontId="4" fillId="0" borderId="0" xfId="0" applyNumberFormat="1" applyFont="1" applyAlignment="1" applyProtection="1">
      <alignment vertical="center"/>
      <protection locked="0"/>
    </xf>
    <xf numFmtId="0" fontId="4" fillId="2" borderId="11" xfId="0" applyFont="1" applyFill="1" applyBorder="1" applyAlignment="1" applyProtection="1">
      <alignment vertical="center"/>
      <protection locked="0"/>
    </xf>
    <xf numFmtId="0" fontId="4" fillId="3" borderId="11" xfId="0" applyFont="1" applyFill="1" applyBorder="1" applyAlignment="1">
      <alignment vertical="center"/>
    </xf>
    <xf numFmtId="0" fontId="14" fillId="0" borderId="0" xfId="0" applyFont="1" applyAlignment="1">
      <alignment vertical="center"/>
    </xf>
    <xf numFmtId="0" fontId="12" fillId="3" borderId="0" xfId="0" applyFont="1" applyFill="1" applyAlignment="1">
      <alignment horizontal="center" vertical="center"/>
    </xf>
    <xf numFmtId="1" fontId="4" fillId="3" borderId="3" xfId="0" applyNumberFormat="1" applyFont="1" applyFill="1" applyBorder="1" applyAlignment="1">
      <alignment horizontal="center" vertical="center"/>
    </xf>
    <xf numFmtId="0" fontId="4" fillId="6"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37" fontId="3" fillId="4" borderId="6" xfId="0" applyNumberFormat="1" applyFont="1" applyFill="1" applyBorder="1" applyAlignment="1">
      <alignment vertical="center"/>
    </xf>
    <xf numFmtId="37" fontId="4" fillId="3" borderId="15" xfId="0" applyNumberFormat="1" applyFont="1" applyFill="1" applyBorder="1" applyAlignment="1">
      <alignment horizontal="left" vertical="center"/>
    </xf>
    <xf numFmtId="3" fontId="4" fillId="3" borderId="1" xfId="0" applyNumberFormat="1" applyFont="1" applyFill="1" applyBorder="1" applyAlignment="1">
      <alignment horizontal="fill" vertical="center"/>
    </xf>
    <xf numFmtId="3" fontId="4" fillId="10" borderId="1" xfId="0" applyNumberFormat="1" applyFont="1" applyFill="1" applyBorder="1" applyAlignment="1">
      <alignment vertical="center"/>
    </xf>
    <xf numFmtId="37" fontId="4" fillId="3" borderId="0" xfId="0" applyNumberFormat="1" applyFont="1" applyFill="1" applyAlignment="1">
      <alignment horizontal="fill" vertical="center"/>
    </xf>
    <xf numFmtId="3" fontId="4" fillId="0" borderId="0" xfId="0" applyNumberFormat="1" applyFont="1" applyAlignment="1" applyProtection="1">
      <alignment horizontal="fill" vertical="center"/>
      <protection locked="0"/>
    </xf>
    <xf numFmtId="0" fontId="4" fillId="6" borderId="11"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3" fontId="4" fillId="3" borderId="2" xfId="0" applyNumberFormat="1" applyFont="1" applyFill="1" applyBorder="1" applyAlignment="1">
      <alignment horizontal="fill" vertical="center"/>
    </xf>
    <xf numFmtId="166" fontId="4" fillId="3" borderId="2" xfId="0" applyNumberFormat="1" applyFont="1" applyFill="1" applyBorder="1" applyAlignment="1">
      <alignment vertical="center"/>
    </xf>
    <xf numFmtId="37" fontId="4" fillId="3" borderId="2" xfId="0" quotePrefix="1" applyNumberFormat="1" applyFont="1" applyFill="1" applyBorder="1" applyAlignment="1">
      <alignment horizontal="right" vertical="center"/>
    </xf>
    <xf numFmtId="37" fontId="4" fillId="2" borderId="11" xfId="0" applyNumberFormat="1" applyFont="1" applyFill="1" applyBorder="1" applyAlignment="1" applyProtection="1">
      <alignment horizontal="left" vertical="center"/>
      <protection locked="0"/>
    </xf>
    <xf numFmtId="37" fontId="14" fillId="9" borderId="1" xfId="0" applyNumberFormat="1" applyFont="1" applyFill="1" applyBorder="1" applyAlignment="1">
      <alignment horizontal="center" vertical="center"/>
    </xf>
    <xf numFmtId="0" fontId="18" fillId="3" borderId="0" xfId="0" applyFont="1" applyFill="1" applyAlignment="1">
      <alignment horizontal="center" vertical="center"/>
    </xf>
    <xf numFmtId="0" fontId="10" fillId="3" borderId="3" xfId="0" applyFont="1" applyFill="1" applyBorder="1" applyAlignment="1">
      <alignment vertical="center"/>
    </xf>
    <xf numFmtId="0" fontId="10" fillId="3" borderId="9" xfId="0" applyFont="1" applyFill="1" applyBorder="1" applyAlignment="1">
      <alignment horizontal="center" vertical="center"/>
    </xf>
    <xf numFmtId="0" fontId="10" fillId="3" borderId="13" xfId="0" applyFont="1" applyFill="1" applyBorder="1" applyAlignment="1">
      <alignment vertical="center"/>
    </xf>
    <xf numFmtId="0" fontId="10" fillId="3" borderId="1" xfId="0" applyFont="1" applyFill="1" applyBorder="1" applyAlignment="1">
      <alignment horizontal="center" vertical="center"/>
    </xf>
    <xf numFmtId="0" fontId="10" fillId="3" borderId="15" xfId="0" applyFont="1" applyFill="1" applyBorder="1" applyAlignment="1">
      <alignment vertical="center"/>
    </xf>
    <xf numFmtId="3" fontId="10" fillId="6" borderId="1" xfId="0" applyNumberFormat="1" applyFont="1" applyFill="1" applyBorder="1" applyAlignment="1" applyProtection="1">
      <alignment horizontal="center" vertical="center"/>
      <protection locked="0"/>
    </xf>
    <xf numFmtId="0" fontId="10" fillId="3" borderId="2" xfId="0" applyFont="1" applyFill="1" applyBorder="1" applyAlignment="1">
      <alignment vertical="center"/>
    </xf>
    <xf numFmtId="3" fontId="10" fillId="4" borderId="1" xfId="0" applyNumberFormat="1" applyFont="1" applyFill="1" applyBorder="1" applyAlignment="1">
      <alignment horizontal="center" vertical="center"/>
    </xf>
    <xf numFmtId="0" fontId="10" fillId="3" borderId="0" xfId="0" applyFont="1" applyFill="1" applyAlignment="1">
      <alignment vertical="center"/>
    </xf>
    <xf numFmtId="3" fontId="10" fillId="3" borderId="0" xfId="0" applyNumberFormat="1" applyFont="1" applyFill="1" applyAlignment="1">
      <alignment horizontal="center" vertical="center"/>
    </xf>
    <xf numFmtId="0" fontId="10" fillId="3" borderId="0" xfId="0" applyFont="1" applyFill="1" applyAlignment="1">
      <alignment horizontal="center" vertical="center"/>
    </xf>
    <xf numFmtId="0" fontId="10" fillId="6" borderId="1" xfId="0" applyFont="1" applyFill="1" applyBorder="1" applyAlignment="1" applyProtection="1">
      <alignment vertical="center"/>
      <protection locked="0"/>
    </xf>
    <xf numFmtId="0" fontId="10" fillId="6" borderId="13" xfId="0" applyFont="1" applyFill="1" applyBorder="1" applyAlignment="1" applyProtection="1">
      <alignment vertical="center"/>
      <protection locked="0"/>
    </xf>
    <xf numFmtId="0" fontId="10" fillId="6" borderId="0" xfId="0" applyFont="1" applyFill="1" applyAlignment="1" applyProtection="1">
      <alignment vertical="center"/>
      <protection locked="0"/>
    </xf>
    <xf numFmtId="0" fontId="10" fillId="6" borderId="9" xfId="0" applyFont="1" applyFill="1" applyBorder="1" applyAlignment="1" applyProtection="1">
      <alignment vertical="center"/>
      <protection locked="0"/>
    </xf>
    <xf numFmtId="0" fontId="10" fillId="6" borderId="5" xfId="0" applyFont="1" applyFill="1" applyBorder="1" applyAlignment="1" applyProtection="1">
      <alignment vertical="center"/>
      <protection locked="0"/>
    </xf>
    <xf numFmtId="0" fontId="10" fillId="6" borderId="12" xfId="0" applyFont="1" applyFill="1" applyBorder="1" applyAlignment="1" applyProtection="1">
      <alignment vertical="center"/>
      <protection locked="0"/>
    </xf>
    <xf numFmtId="3" fontId="16" fillId="9" borderId="1" xfId="0" applyNumberFormat="1" applyFont="1" applyFill="1" applyBorder="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1" xfId="0" applyNumberFormat="1" applyFont="1" applyFill="1" applyBorder="1" applyAlignment="1">
      <alignment horizontal="centerContinuous" vertical="center"/>
    </xf>
    <xf numFmtId="164" fontId="4" fillId="3" borderId="1" xfId="0" applyNumberFormat="1" applyFont="1" applyFill="1" applyBorder="1" applyAlignment="1">
      <alignment vertical="center"/>
    </xf>
    <xf numFmtId="37" fontId="4" fillId="3" borderId="5" xfId="0" applyNumberFormat="1" applyFont="1" applyFill="1" applyBorder="1" applyAlignment="1">
      <alignment horizontal="fill" vertical="center"/>
    </xf>
    <xf numFmtId="1" fontId="5" fillId="3" borderId="0" xfId="0" applyNumberFormat="1" applyFont="1" applyFill="1" applyAlignment="1">
      <alignment horizontal="center" vertical="center"/>
    </xf>
    <xf numFmtId="3" fontId="4" fillId="3" borderId="2"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4" fillId="6" borderId="1" xfId="0" applyNumberFormat="1" applyFont="1" applyFill="1" applyBorder="1" applyAlignment="1" applyProtection="1">
      <alignment horizontal="center" vertical="center"/>
      <protection locked="0"/>
    </xf>
    <xf numFmtId="171" fontId="4" fillId="3" borderId="1" xfId="0" applyNumberFormat="1" applyFont="1" applyFill="1" applyBorder="1" applyAlignment="1">
      <alignment horizontal="center" vertical="center"/>
    </xf>
    <xf numFmtId="3" fontId="4" fillId="6"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lignment horizontal="center" vertical="center"/>
    </xf>
    <xf numFmtId="171" fontId="4" fillId="3" borderId="6" xfId="0" applyNumberFormat="1" applyFont="1" applyFill="1" applyBorder="1" applyAlignment="1">
      <alignment horizontal="center" vertical="center"/>
    </xf>
    <xf numFmtId="171" fontId="4" fillId="3" borderId="2" xfId="0" applyNumberFormat="1" applyFont="1" applyFill="1" applyBorder="1" applyAlignment="1">
      <alignment horizontal="center" vertical="center"/>
    </xf>
    <xf numFmtId="171" fontId="4" fillId="3" borderId="0" xfId="0" applyNumberFormat="1" applyFont="1" applyFill="1" applyAlignment="1">
      <alignment horizontal="center" vertical="center"/>
    </xf>
    <xf numFmtId="0" fontId="0" fillId="3" borderId="0" xfId="0" applyFill="1" applyAlignment="1">
      <alignment horizontal="center" vertical="center"/>
    </xf>
    <xf numFmtId="170" fontId="4" fillId="3" borderId="0" xfId="0" applyNumberFormat="1" applyFont="1" applyFill="1" applyAlignment="1">
      <alignment vertical="center"/>
    </xf>
    <xf numFmtId="3" fontId="25" fillId="9" borderId="0" xfId="0" applyNumberFormat="1" applyFont="1" applyFill="1" applyAlignment="1">
      <alignment horizontal="center" vertical="center"/>
    </xf>
    <xf numFmtId="37" fontId="3" fillId="12" borderId="1" xfId="0" applyNumberFormat="1" applyFont="1" applyFill="1" applyBorder="1" applyAlignment="1">
      <alignment vertical="center"/>
    </xf>
    <xf numFmtId="37" fontId="4" fillId="12" borderId="1" xfId="0" applyNumberFormat="1" applyFont="1" applyFill="1" applyBorder="1" applyAlignment="1">
      <alignment vertical="center"/>
    </xf>
    <xf numFmtId="0" fontId="27" fillId="0" borderId="0" xfId="474"/>
    <xf numFmtId="0" fontId="4" fillId="0" borderId="0" xfId="474" applyFont="1" applyAlignment="1">
      <alignment horizontal="left" vertical="center"/>
    </xf>
    <xf numFmtId="0" fontId="28" fillId="0" borderId="0" xfId="0" applyFont="1"/>
    <xf numFmtId="0" fontId="40"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3" fontId="10" fillId="4" borderId="5" xfId="0" applyNumberFormat="1" applyFont="1" applyFill="1" applyBorder="1" applyAlignment="1">
      <alignment horizontal="center" vertical="center"/>
    </xf>
    <xf numFmtId="3" fontId="4" fillId="10" borderId="11" xfId="0" applyNumberFormat="1" applyFont="1" applyFill="1" applyBorder="1" applyAlignment="1">
      <alignment vertical="center"/>
    </xf>
    <xf numFmtId="49" fontId="4" fillId="2" borderId="1" xfId="0" applyNumberFormat="1" applyFont="1" applyFill="1" applyBorder="1" applyAlignment="1" applyProtection="1">
      <alignment horizontal="center" vertical="center"/>
      <protection locked="0"/>
    </xf>
    <xf numFmtId="0" fontId="4" fillId="3" borderId="0" xfId="56" applyFont="1" applyFill="1" applyAlignment="1">
      <alignment horizontal="right" vertical="center"/>
    </xf>
    <xf numFmtId="0" fontId="2" fillId="0" borderId="0" xfId="51"/>
    <xf numFmtId="0" fontId="4" fillId="3" borderId="0" xfId="51" applyFont="1" applyFill="1" applyAlignment="1">
      <alignment vertical="center"/>
    </xf>
    <xf numFmtId="0" fontId="4" fillId="0" borderId="0" xfId="51" applyFont="1" applyAlignment="1" applyProtection="1">
      <alignment vertical="center"/>
      <protection locked="0"/>
    </xf>
    <xf numFmtId="37" fontId="4" fillId="3" borderId="0" xfId="51" applyNumberFormat="1" applyFont="1" applyFill="1" applyAlignment="1">
      <alignment horizontal="left" vertical="center"/>
    </xf>
    <xf numFmtId="0" fontId="3" fillId="3" borderId="0" xfId="51" applyFont="1" applyFill="1" applyAlignment="1">
      <alignment vertical="center"/>
    </xf>
    <xf numFmtId="3" fontId="4" fillId="2" borderId="1" xfId="51" applyNumberFormat="1" applyFont="1" applyFill="1" applyBorder="1" applyAlignment="1" applyProtection="1">
      <alignment vertical="center"/>
      <protection locked="0"/>
    </xf>
    <xf numFmtId="0" fontId="4" fillId="3" borderId="0" xfId="51" applyFont="1" applyFill="1" applyAlignment="1" applyProtection="1">
      <alignment vertical="center"/>
      <protection locked="0"/>
    </xf>
    <xf numFmtId="0" fontId="2" fillId="0" borderId="0" xfId="51" applyAlignment="1">
      <alignment vertical="center"/>
    </xf>
    <xf numFmtId="1" fontId="4" fillId="3" borderId="0" xfId="51" applyNumberFormat="1" applyFont="1" applyFill="1" applyAlignment="1">
      <alignment horizontal="right" vertical="center"/>
    </xf>
    <xf numFmtId="37" fontId="4" fillId="3" borderId="0" xfId="51" quotePrefix="1" applyNumberFormat="1" applyFont="1" applyFill="1" applyAlignment="1">
      <alignment horizontal="right" vertical="center"/>
    </xf>
    <xf numFmtId="37" fontId="4" fillId="3" borderId="11" xfId="51" applyNumberFormat="1" applyFont="1" applyFill="1" applyBorder="1" applyAlignment="1">
      <alignment horizontal="left" vertical="center"/>
    </xf>
    <xf numFmtId="3" fontId="4" fillId="3" borderId="1" xfId="51" applyNumberFormat="1" applyFont="1" applyFill="1" applyBorder="1" applyAlignment="1">
      <alignment vertical="center"/>
    </xf>
    <xf numFmtId="37" fontId="4" fillId="3" borderId="11" xfId="51" applyNumberFormat="1" applyFont="1" applyFill="1" applyBorder="1" applyAlignment="1">
      <alignment vertical="center"/>
    </xf>
    <xf numFmtId="0" fontId="4" fillId="3" borderId="11" xfId="51" applyFont="1" applyFill="1" applyBorder="1" applyAlignment="1">
      <alignment vertical="center"/>
    </xf>
    <xf numFmtId="37" fontId="4" fillId="3" borderId="0" xfId="51" applyNumberFormat="1" applyFont="1" applyFill="1" applyAlignment="1">
      <alignment vertical="center"/>
    </xf>
    <xf numFmtId="0" fontId="4" fillId="3" borderId="0" xfId="51" applyFont="1" applyFill="1" applyAlignment="1">
      <alignment horizontal="right" vertical="center"/>
    </xf>
    <xf numFmtId="37" fontId="4" fillId="3" borderId="0" xfId="51" applyNumberFormat="1" applyFont="1" applyFill="1" applyAlignment="1">
      <alignment horizontal="right" vertical="center"/>
    </xf>
    <xf numFmtId="37" fontId="4" fillId="3" borderId="0" xfId="51" applyNumberFormat="1" applyFont="1" applyFill="1" applyAlignment="1">
      <alignment horizontal="fill" vertical="center"/>
    </xf>
    <xf numFmtId="37" fontId="4" fillId="3" borderId="15" xfId="51" applyNumberFormat="1" applyFont="1" applyFill="1" applyBorder="1" applyAlignment="1">
      <alignment horizontal="left" vertical="center"/>
    </xf>
    <xf numFmtId="37" fontId="3" fillId="3" borderId="11" xfId="51" applyNumberFormat="1" applyFont="1" applyFill="1" applyBorder="1" applyAlignment="1">
      <alignment horizontal="left" vertical="center"/>
    </xf>
    <xf numFmtId="0" fontId="14" fillId="0" borderId="0" xfId="51" applyFont="1" applyAlignment="1">
      <alignment vertical="center"/>
    </xf>
    <xf numFmtId="0" fontId="12" fillId="3" borderId="0" xfId="51" applyFont="1" applyFill="1" applyAlignment="1">
      <alignment horizontal="center" vertical="center"/>
    </xf>
    <xf numFmtId="37" fontId="4" fillId="2" borderId="11" xfId="51" applyNumberFormat="1" applyFont="1" applyFill="1" applyBorder="1" applyAlignment="1" applyProtection="1">
      <alignment horizontal="left" vertical="center"/>
      <protection locked="0"/>
    </xf>
    <xf numFmtId="0" fontId="4" fillId="3" borderId="11" xfId="51" applyFont="1" applyFill="1" applyBorder="1" applyAlignment="1" applyProtection="1">
      <alignment vertical="center"/>
      <protection locked="0"/>
    </xf>
    <xf numFmtId="3" fontId="4" fillId="3" borderId="1" xfId="51" applyNumberFormat="1" applyFont="1" applyFill="1" applyBorder="1" applyAlignment="1">
      <alignment horizontal="fill" vertical="center"/>
    </xf>
    <xf numFmtId="0" fontId="4" fillId="2" borderId="11" xfId="51" applyFont="1" applyFill="1" applyBorder="1" applyAlignment="1" applyProtection="1">
      <alignment horizontal="left" vertical="center"/>
      <protection locked="0"/>
    </xf>
    <xf numFmtId="3" fontId="3" fillId="3" borderId="1" xfId="51" applyNumberFormat="1" applyFont="1" applyFill="1" applyBorder="1" applyAlignment="1">
      <alignment vertical="center"/>
    </xf>
    <xf numFmtId="37" fontId="4" fillId="6" borderId="11" xfId="51" applyNumberFormat="1" applyFont="1" applyFill="1" applyBorder="1" applyAlignment="1" applyProtection="1">
      <alignment horizontal="right" vertical="center"/>
      <protection locked="0"/>
    </xf>
    <xf numFmtId="3" fontId="4" fillId="3" borderId="11" xfId="51" applyNumberFormat="1" applyFont="1" applyFill="1" applyBorder="1" applyAlignment="1">
      <alignment vertical="center"/>
    </xf>
    <xf numFmtId="37" fontId="4" fillId="6" borderId="11" xfId="51" applyNumberFormat="1" applyFont="1" applyFill="1" applyBorder="1" applyAlignment="1" applyProtection="1">
      <alignment vertical="center"/>
      <protection locked="0"/>
    </xf>
    <xf numFmtId="3" fontId="4" fillId="2" borderId="11" xfId="51" applyNumberFormat="1" applyFont="1" applyFill="1" applyBorder="1" applyAlignment="1" applyProtection="1">
      <alignment vertical="center"/>
      <protection locked="0"/>
    </xf>
    <xf numFmtId="3" fontId="3" fillId="3" borderId="11" xfId="51" applyNumberFormat="1" applyFont="1" applyFill="1" applyBorder="1" applyAlignment="1">
      <alignment vertical="center"/>
    </xf>
    <xf numFmtId="37" fontId="3" fillId="3" borderId="2" xfId="51" applyNumberFormat="1" applyFont="1" applyFill="1" applyBorder="1" applyAlignment="1">
      <alignment vertical="center"/>
    </xf>
    <xf numFmtId="37" fontId="3" fillId="3" borderId="0" xfId="51" applyNumberFormat="1" applyFont="1" applyFill="1" applyAlignment="1">
      <alignment vertical="center"/>
    </xf>
    <xf numFmtId="0" fontId="7" fillId="7" borderId="1" xfId="0" applyFont="1" applyFill="1" applyBorder="1" applyAlignment="1">
      <alignment vertical="center" shrinkToFit="1"/>
    </xf>
    <xf numFmtId="37" fontId="4" fillId="3" borderId="4" xfId="51" applyNumberFormat="1" applyFont="1" applyFill="1" applyBorder="1" applyAlignment="1">
      <alignment horizontal="center" vertical="center"/>
    </xf>
    <xf numFmtId="37" fontId="4" fillId="3" borderId="5" xfId="51" applyNumberFormat="1" applyFont="1" applyFill="1" applyBorder="1" applyAlignment="1">
      <alignment horizontal="center" vertical="center"/>
    </xf>
    <xf numFmtId="0" fontId="30" fillId="0" borderId="0" xfId="0" applyFont="1" applyAlignment="1">
      <alignment vertical="center"/>
    </xf>
    <xf numFmtId="0" fontId="4" fillId="0" borderId="0" xfId="0" applyFont="1" applyAlignment="1">
      <alignment wrapText="1"/>
    </xf>
    <xf numFmtId="3" fontId="4" fillId="3" borderId="5"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3" fontId="4" fillId="6" borderId="11" xfId="51" applyNumberFormat="1" applyFont="1" applyFill="1" applyBorder="1" applyAlignment="1" applyProtection="1">
      <alignment horizontal="right" vertical="center"/>
      <protection locked="0"/>
    </xf>
    <xf numFmtId="0" fontId="4" fillId="0" borderId="0" xfId="56" applyFont="1" applyAlignment="1">
      <alignment vertical="center" wrapText="1"/>
    </xf>
    <xf numFmtId="0" fontId="19" fillId="0" borderId="0" xfId="0" applyFont="1"/>
    <xf numFmtId="0" fontId="20" fillId="0" borderId="0" xfId="0" applyFont="1" applyAlignment="1">
      <alignment horizontal="center"/>
    </xf>
    <xf numFmtId="0" fontId="3" fillId="0" borderId="0" xfId="0" applyFont="1" applyAlignment="1">
      <alignment wrapText="1"/>
    </xf>
    <xf numFmtId="0" fontId="20" fillId="0" borderId="0" xfId="0" applyFont="1" applyAlignment="1">
      <alignment horizontal="center" vertical="center"/>
    </xf>
    <xf numFmtId="0" fontId="3" fillId="0" borderId="0" xfId="0" applyFont="1" applyAlignment="1">
      <alignment vertical="center" wrapText="1"/>
    </xf>
    <xf numFmtId="0" fontId="19" fillId="0" borderId="0" xfId="0" applyFont="1" applyAlignment="1">
      <alignment vertical="center"/>
    </xf>
    <xf numFmtId="0" fontId="22" fillId="0" borderId="0" xfId="0" applyFont="1" applyAlignment="1">
      <alignment vertical="center" wrapText="1"/>
    </xf>
    <xf numFmtId="0" fontId="6" fillId="0" borderId="0" xfId="0" applyFont="1" applyAlignment="1">
      <alignment vertical="center"/>
    </xf>
    <xf numFmtId="0" fontId="21" fillId="0" borderId="0" xfId="0" applyFont="1" applyAlignment="1">
      <alignment vertical="center" wrapText="1"/>
    </xf>
    <xf numFmtId="0" fontId="23" fillId="0" borderId="0" xfId="0" applyFont="1" applyAlignment="1">
      <alignment vertical="center"/>
    </xf>
    <xf numFmtId="0" fontId="41" fillId="0" borderId="0" xfId="0" applyFont="1" applyAlignment="1">
      <alignment wrapText="1"/>
    </xf>
    <xf numFmtId="0" fontId="22" fillId="0" borderId="0" xfId="0" applyFont="1" applyAlignment="1">
      <alignment wrapText="1"/>
    </xf>
    <xf numFmtId="171" fontId="4" fillId="14" borderId="12" xfId="51" applyNumberFormat="1" applyFont="1" applyFill="1" applyBorder="1" applyAlignment="1" applyProtection="1">
      <alignment horizontal="center"/>
      <protection locked="0"/>
    </xf>
    <xf numFmtId="0" fontId="33" fillId="13" borderId="16" xfId="51" applyFont="1" applyFill="1" applyBorder="1"/>
    <xf numFmtId="0" fontId="4" fillId="13" borderId="0" xfId="51" applyFont="1" applyFill="1"/>
    <xf numFmtId="172" fontId="4" fillId="13" borderId="12" xfId="51" applyNumberFormat="1" applyFont="1" applyFill="1" applyBorder="1" applyAlignment="1">
      <alignment horizontal="center"/>
    </xf>
    <xf numFmtId="0" fontId="4" fillId="13" borderId="15" xfId="51" applyFont="1" applyFill="1" applyBorder="1"/>
    <xf numFmtId="0" fontId="4" fillId="13" borderId="2" xfId="51" applyFont="1" applyFill="1" applyBorder="1"/>
    <xf numFmtId="172" fontId="4" fillId="16" borderId="7" xfId="51" applyNumberFormat="1" applyFont="1" applyFill="1" applyBorder="1" applyAlignment="1">
      <alignment horizontal="center"/>
    </xf>
    <xf numFmtId="0" fontId="4" fillId="0" borderId="0" xfId="51" applyFont="1"/>
    <xf numFmtId="0" fontId="4" fillId="13" borderId="16" xfId="51" applyFont="1" applyFill="1" applyBorder="1"/>
    <xf numFmtId="0" fontId="4" fillId="13" borderId="12" xfId="51" applyFont="1" applyFill="1" applyBorder="1"/>
    <xf numFmtId="170" fontId="4" fillId="13" borderId="12" xfId="51" applyNumberFormat="1" applyFont="1" applyFill="1" applyBorder="1" applyAlignment="1">
      <alignment horizontal="center"/>
    </xf>
    <xf numFmtId="0" fontId="4" fillId="16" borderId="16" xfId="51" applyFont="1" applyFill="1" applyBorder="1"/>
    <xf numFmtId="0" fontId="4" fillId="16" borderId="0" xfId="51" applyFont="1" applyFill="1"/>
    <xf numFmtId="0" fontId="4" fillId="16" borderId="15" xfId="51" applyFont="1" applyFill="1" applyBorder="1"/>
    <xf numFmtId="0" fontId="4" fillId="16" borderId="2" xfId="51" applyFont="1" applyFill="1" applyBorder="1"/>
    <xf numFmtId="172" fontId="4" fillId="13" borderId="7" xfId="51" applyNumberFormat="1" applyFont="1" applyFill="1" applyBorder="1" applyAlignment="1">
      <alignment horizontal="center"/>
    </xf>
    <xf numFmtId="0" fontId="42" fillId="0" borderId="0" xfId="0" applyFont="1" applyAlignment="1">
      <alignment vertical="center"/>
    </xf>
    <xf numFmtId="0" fontId="43" fillId="0" borderId="0" xfId="0" applyFont="1" applyAlignment="1" applyProtection="1">
      <alignment horizontal="center" vertical="center"/>
      <protection locked="0"/>
    </xf>
    <xf numFmtId="0" fontId="44" fillId="3" borderId="0" xfId="0" applyFont="1" applyFill="1" applyAlignment="1">
      <alignment horizontal="center" vertical="center"/>
    </xf>
    <xf numFmtId="37" fontId="4" fillId="3" borderId="17" xfId="0" applyNumberFormat="1" applyFont="1" applyFill="1" applyBorder="1" applyAlignment="1">
      <alignment vertical="center"/>
    </xf>
    <xf numFmtId="0" fontId="4" fillId="3" borderId="17" xfId="0" applyFont="1" applyFill="1" applyBorder="1" applyAlignment="1">
      <alignment vertical="center"/>
    </xf>
    <xf numFmtId="37" fontId="3" fillId="3" borderId="0" xfId="0" applyNumberFormat="1" applyFont="1" applyFill="1" applyAlignment="1">
      <alignment vertical="center"/>
    </xf>
    <xf numFmtId="0" fontId="4" fillId="13" borderId="0" xfId="51" applyFont="1" applyFill="1" applyAlignment="1" applyProtection="1">
      <alignment vertical="center"/>
      <protection locked="0"/>
    </xf>
    <xf numFmtId="0" fontId="4" fillId="13" borderId="0" xfId="51" applyFont="1" applyFill="1" applyAlignment="1">
      <alignment vertical="center"/>
    </xf>
    <xf numFmtId="0" fontId="33" fillId="13" borderId="0" xfId="51" applyFont="1" applyFill="1" applyAlignment="1" applyProtection="1">
      <alignment vertical="center"/>
      <protection locked="0"/>
    </xf>
    <xf numFmtId="172" fontId="33" fillId="14" borderId="1" xfId="51" applyNumberFormat="1" applyFont="1" applyFill="1" applyBorder="1" applyAlignment="1" applyProtection="1">
      <alignment horizontal="center" vertical="center"/>
      <protection locked="0"/>
    </xf>
    <xf numFmtId="0" fontId="4" fillId="13" borderId="16" xfId="51" applyFont="1" applyFill="1" applyBorder="1" applyAlignment="1">
      <alignment vertical="center"/>
    </xf>
    <xf numFmtId="0" fontId="4" fillId="13" borderId="12" xfId="51" applyFont="1" applyFill="1" applyBorder="1" applyAlignment="1">
      <alignment vertical="center"/>
    </xf>
    <xf numFmtId="172" fontId="33" fillId="13" borderId="16" xfId="51" applyNumberFormat="1" applyFont="1" applyFill="1" applyBorder="1" applyAlignment="1">
      <alignment horizontal="center" vertical="center"/>
    </xf>
    <xf numFmtId="0" fontId="33" fillId="13" borderId="0" xfId="51" applyFont="1" applyFill="1" applyAlignment="1">
      <alignment horizontal="left" vertical="center"/>
    </xf>
    <xf numFmtId="0" fontId="33" fillId="13" borderId="12" xfId="51" applyFont="1" applyFill="1" applyBorder="1" applyAlignment="1">
      <alignment vertical="center"/>
    </xf>
    <xf numFmtId="0" fontId="33" fillId="13" borderId="0" xfId="51" applyFont="1" applyFill="1" applyAlignment="1">
      <alignment vertical="center"/>
    </xf>
    <xf numFmtId="172" fontId="33" fillId="13" borderId="15" xfId="51" applyNumberFormat="1" applyFont="1" applyFill="1" applyBorder="1" applyAlignment="1">
      <alignment horizontal="center" vertical="center"/>
    </xf>
    <xf numFmtId="172" fontId="33" fillId="13" borderId="16" xfId="51" applyNumberFormat="1" applyFont="1" applyFill="1" applyBorder="1" applyAlignment="1">
      <alignment vertical="center"/>
    </xf>
    <xf numFmtId="0" fontId="35" fillId="16" borderId="2" xfId="51" applyFont="1" applyFill="1" applyBorder="1" applyAlignment="1">
      <alignment vertical="center"/>
    </xf>
    <xf numFmtId="0" fontId="33" fillId="16" borderId="7" xfId="51" applyFont="1" applyFill="1" applyBorder="1" applyAlignment="1">
      <alignment vertical="center"/>
    </xf>
    <xf numFmtId="0" fontId="4" fillId="16" borderId="7" xfId="51" applyFont="1" applyFill="1" applyBorder="1" applyAlignment="1">
      <alignment vertical="center"/>
    </xf>
    <xf numFmtId="0" fontId="33" fillId="13" borderId="16" xfId="51" applyFont="1" applyFill="1" applyBorder="1" applyAlignment="1">
      <alignment horizontal="left" vertical="center"/>
    </xf>
    <xf numFmtId="172" fontId="35" fillId="16" borderId="15" xfId="51" applyNumberFormat="1" applyFont="1" applyFill="1" applyBorder="1" applyAlignment="1">
      <alignment horizontal="center" vertical="center"/>
    </xf>
    <xf numFmtId="172" fontId="35" fillId="16" borderId="7" xfId="51" applyNumberFormat="1" applyFont="1" applyFill="1" applyBorder="1" applyAlignment="1" applyProtection="1">
      <alignment horizontal="center" vertical="center"/>
      <protection locked="0"/>
    </xf>
    <xf numFmtId="171" fontId="33" fillId="13" borderId="9" xfId="51" applyNumberFormat="1" applyFont="1" applyFill="1" applyBorder="1" applyAlignment="1" applyProtection="1">
      <alignment horizontal="center" vertical="center"/>
      <protection locked="0"/>
    </xf>
    <xf numFmtId="0" fontId="33" fillId="13" borderId="16" xfId="51" applyFont="1" applyFill="1" applyBorder="1" applyAlignment="1">
      <alignment vertical="center"/>
    </xf>
    <xf numFmtId="37" fontId="4" fillId="0" borderId="0" xfId="0" applyNumberFormat="1" applyFont="1" applyAlignment="1">
      <alignment horizontal="center" vertical="center"/>
    </xf>
    <xf numFmtId="3" fontId="4" fillId="3" borderId="0" xfId="0" applyNumberFormat="1" applyFont="1" applyFill="1" applyAlignment="1">
      <alignment horizontal="center" vertical="center"/>
    </xf>
    <xf numFmtId="3" fontId="4" fillId="0" borderId="0" xfId="0" applyNumberFormat="1" applyFont="1" applyAlignment="1">
      <alignment horizontal="center" vertical="center"/>
    </xf>
    <xf numFmtId="170" fontId="4" fillId="3" borderId="0" xfId="0" applyNumberFormat="1" applyFont="1" applyFill="1" applyAlignment="1">
      <alignment horizontal="center" vertical="center"/>
    </xf>
    <xf numFmtId="3" fontId="4" fillId="12" borderId="6" xfId="0" applyNumberFormat="1" applyFont="1" applyFill="1" applyBorder="1" applyAlignment="1">
      <alignment horizontal="center" vertical="center"/>
    </xf>
    <xf numFmtId="37" fontId="6" fillId="3" borderId="3" xfId="0" applyNumberFormat="1" applyFont="1" applyFill="1" applyBorder="1" applyAlignment="1">
      <alignment horizontal="center" vertical="center"/>
    </xf>
    <xf numFmtId="1" fontId="6" fillId="3" borderId="3" xfId="0" applyNumberFormat="1" applyFont="1" applyFill="1" applyBorder="1" applyAlignment="1">
      <alignment horizontal="center" vertical="center"/>
    </xf>
    <xf numFmtId="0" fontId="3" fillId="3" borderId="2" xfId="0" applyFont="1" applyFill="1" applyBorder="1" applyAlignment="1">
      <alignment vertical="center"/>
    </xf>
    <xf numFmtId="172" fontId="4" fillId="16" borderId="12" xfId="51" applyNumberFormat="1" applyFont="1" applyFill="1" applyBorder="1" applyAlignment="1">
      <alignment horizontal="center"/>
    </xf>
    <xf numFmtId="0" fontId="4" fillId="16" borderId="15" xfId="0" applyFont="1" applyFill="1" applyBorder="1" applyAlignment="1">
      <alignment vertical="center"/>
    </xf>
    <xf numFmtId="0" fontId="4" fillId="16" borderId="2" xfId="0" applyFont="1" applyFill="1" applyBorder="1" applyAlignment="1">
      <alignment vertical="center"/>
    </xf>
    <xf numFmtId="172" fontId="4" fillId="16" borderId="7" xfId="0" applyNumberFormat="1" applyFont="1" applyFill="1" applyBorder="1" applyAlignment="1">
      <alignment horizontal="center" vertical="center"/>
    </xf>
    <xf numFmtId="0" fontId="4" fillId="3" borderId="0" xfId="13" applyNumberFormat="1" applyFont="1" applyFill="1" applyBorder="1" applyAlignment="1" applyProtection="1">
      <alignment horizontal="right" vertical="center"/>
    </xf>
    <xf numFmtId="0" fontId="4" fillId="3" borderId="4" xfId="0" applyFont="1" applyFill="1" applyBorder="1"/>
    <xf numFmtId="10" fontId="4" fillId="2" borderId="1" xfId="0" applyNumberFormat="1" applyFont="1" applyFill="1" applyBorder="1" applyAlignment="1" applyProtection="1">
      <alignment vertical="center"/>
      <protection locked="0"/>
    </xf>
    <xf numFmtId="170" fontId="4" fillId="3" borderId="9" xfId="0" applyNumberFormat="1" applyFont="1" applyFill="1" applyBorder="1" applyAlignment="1">
      <alignment vertical="center"/>
    </xf>
    <xf numFmtId="49" fontId="4" fillId="3" borderId="0" xfId="0" applyNumberFormat="1" applyFont="1" applyFill="1" applyAlignment="1">
      <alignment horizontal="left" vertical="center"/>
    </xf>
    <xf numFmtId="0" fontId="35" fillId="16" borderId="16" xfId="51" applyFont="1" applyFill="1" applyBorder="1" applyAlignment="1" applyProtection="1">
      <alignment vertical="center"/>
      <protection locked="0"/>
    </xf>
    <xf numFmtId="0" fontId="4" fillId="16" borderId="0" xfId="51" applyFont="1" applyFill="1" applyAlignment="1" applyProtection="1">
      <alignment vertical="center"/>
      <protection locked="0"/>
    </xf>
    <xf numFmtId="0" fontId="33" fillId="16" borderId="0" xfId="51" applyFont="1" applyFill="1" applyAlignment="1" applyProtection="1">
      <alignment vertical="center"/>
      <protection locked="0"/>
    </xf>
    <xf numFmtId="0" fontId="33" fillId="13" borderId="15" xfId="0" applyFont="1" applyFill="1" applyBorder="1" applyAlignment="1" applyProtection="1">
      <alignment vertical="center"/>
      <protection locked="0"/>
    </xf>
    <xf numFmtId="0" fontId="33" fillId="13" borderId="2" xfId="0" applyFont="1" applyFill="1" applyBorder="1" applyAlignment="1" applyProtection="1">
      <alignment vertical="center"/>
      <protection locked="0"/>
    </xf>
    <xf numFmtId="0" fontId="4" fillId="13" borderId="2" xfId="0" applyFont="1" applyFill="1" applyBorder="1" applyAlignment="1" applyProtection="1">
      <alignment vertical="center"/>
      <protection locked="0"/>
    </xf>
    <xf numFmtId="0" fontId="33" fillId="13" borderId="0" xfId="0" applyFont="1" applyFill="1" applyAlignment="1">
      <alignment horizontal="left" vertical="center"/>
    </xf>
    <xf numFmtId="0" fontId="42" fillId="0" borderId="0" xfId="0" applyFont="1" applyProtection="1">
      <protection locked="0"/>
    </xf>
    <xf numFmtId="0" fontId="4" fillId="13" borderId="12" xfId="0" applyFont="1" applyFill="1" applyBorder="1" applyAlignment="1" applyProtection="1">
      <alignment vertical="center"/>
      <protection locked="0"/>
    </xf>
    <xf numFmtId="3" fontId="4" fillId="9" borderId="6" xfId="51" applyNumberFormat="1" applyFont="1" applyFill="1" applyBorder="1" applyAlignment="1">
      <alignment vertical="center"/>
    </xf>
    <xf numFmtId="3" fontId="4" fillId="10" borderId="6" xfId="0" applyNumberFormat="1" applyFont="1" applyFill="1" applyBorder="1" applyAlignment="1">
      <alignment vertical="center"/>
    </xf>
    <xf numFmtId="3" fontId="4" fillId="9" borderId="6" xfId="0" applyNumberFormat="1" applyFont="1" applyFill="1" applyBorder="1" applyAlignment="1">
      <alignment vertical="center"/>
    </xf>
    <xf numFmtId="0" fontId="33" fillId="13" borderId="16" xfId="0" applyFont="1" applyFill="1" applyBorder="1" applyAlignment="1">
      <alignment vertical="center"/>
    </xf>
    <xf numFmtId="0" fontId="4" fillId="13" borderId="0" xfId="0" applyFont="1" applyFill="1" applyAlignment="1">
      <alignment vertical="center"/>
    </xf>
    <xf numFmtId="0" fontId="33" fillId="13" borderId="0" xfId="0" applyFont="1" applyFill="1" applyAlignment="1">
      <alignment vertical="center"/>
    </xf>
    <xf numFmtId="172" fontId="33" fillId="13" borderId="12" xfId="0" applyNumberFormat="1" applyFont="1" applyFill="1" applyBorder="1" applyAlignment="1">
      <alignment horizontal="center" vertical="center"/>
    </xf>
    <xf numFmtId="0" fontId="33" fillId="13" borderId="16" xfId="0" applyFont="1" applyFill="1" applyBorder="1" applyAlignment="1">
      <alignment horizontal="left" vertical="center"/>
    </xf>
    <xf numFmtId="172" fontId="33" fillId="14" borderId="1" xfId="0" applyNumberFormat="1" applyFont="1" applyFill="1" applyBorder="1" applyAlignment="1" applyProtection="1">
      <alignment horizontal="center" vertical="center"/>
      <protection locked="0"/>
    </xf>
    <xf numFmtId="171" fontId="35" fillId="13" borderId="9" xfId="0" applyNumberFormat="1" applyFont="1" applyFill="1" applyBorder="1" applyAlignment="1">
      <alignment horizontal="center" vertical="center"/>
    </xf>
    <xf numFmtId="0" fontId="35" fillId="16" borderId="16" xfId="0" applyFont="1" applyFill="1" applyBorder="1" applyAlignment="1">
      <alignment vertical="center"/>
    </xf>
    <xf numFmtId="0" fontId="4" fillId="16" borderId="0" xfId="0" applyFont="1" applyFill="1" applyAlignment="1">
      <alignment vertical="center"/>
    </xf>
    <xf numFmtId="0" fontId="33" fillId="16" borderId="0" xfId="0" applyFont="1" applyFill="1" applyAlignment="1">
      <alignment vertical="center"/>
    </xf>
    <xf numFmtId="172" fontId="35" fillId="16" borderId="9" xfId="0" applyNumberFormat="1" applyFont="1" applyFill="1" applyBorder="1" applyAlignment="1">
      <alignment horizontal="center" vertical="center"/>
    </xf>
    <xf numFmtId="37" fontId="33" fillId="3" borderId="15" xfId="0" applyNumberFormat="1" applyFont="1" applyFill="1" applyBorder="1" applyAlignment="1">
      <alignment horizontal="left" vertical="center"/>
    </xf>
    <xf numFmtId="0" fontId="37" fillId="13" borderId="2" xfId="0" applyFont="1" applyFill="1" applyBorder="1" applyAlignment="1">
      <alignment horizontal="left" vertical="center"/>
    </xf>
    <xf numFmtId="172" fontId="35" fillId="16" borderId="7" xfId="0" applyNumberFormat="1" applyFont="1" applyFill="1" applyBorder="1" applyAlignment="1" applyProtection="1">
      <alignment horizontal="center" vertical="center"/>
      <protection locked="0"/>
    </xf>
    <xf numFmtId="0" fontId="4" fillId="13" borderId="16" xfId="0" applyFont="1" applyFill="1" applyBorder="1" applyAlignment="1">
      <alignment vertical="center"/>
    </xf>
    <xf numFmtId="0" fontId="4" fillId="13" borderId="12" xfId="0" applyFont="1" applyFill="1" applyBorder="1" applyProtection="1">
      <protection locked="0"/>
    </xf>
    <xf numFmtId="172" fontId="33" fillId="13" borderId="16" xfId="0" applyNumberFormat="1" applyFont="1" applyFill="1" applyBorder="1" applyAlignment="1">
      <alignment horizontal="center" vertical="center"/>
    </xf>
    <xf numFmtId="0" fontId="33" fillId="13" borderId="12" xfId="0" applyFont="1" applyFill="1" applyBorder="1" applyAlignment="1">
      <alignment vertical="center"/>
    </xf>
    <xf numFmtId="172" fontId="33" fillId="13" borderId="15" xfId="0" applyNumberFormat="1" applyFont="1" applyFill="1" applyBorder="1" applyAlignment="1">
      <alignment horizontal="center" vertical="center"/>
    </xf>
    <xf numFmtId="0" fontId="36" fillId="0" borderId="0" xfId="0" applyFont="1" applyAlignment="1">
      <alignment horizontal="right" vertical="center"/>
    </xf>
    <xf numFmtId="172" fontId="10" fillId="13" borderId="16" xfId="0" applyNumberFormat="1" applyFont="1" applyFill="1" applyBorder="1" applyAlignment="1">
      <alignment horizontal="center" vertical="center"/>
    </xf>
    <xf numFmtId="0" fontId="4" fillId="13" borderId="12" xfId="0" applyFont="1" applyFill="1" applyBorder="1" applyAlignment="1">
      <alignment vertical="center"/>
    </xf>
    <xf numFmtId="172" fontId="10" fillId="13" borderId="16" xfId="0" applyNumberFormat="1" applyFont="1" applyFill="1" applyBorder="1" applyAlignment="1">
      <alignment vertical="center"/>
    </xf>
    <xf numFmtId="0" fontId="10" fillId="13" borderId="0" xfId="0" applyFont="1" applyFill="1" applyAlignment="1">
      <alignment vertical="center"/>
    </xf>
    <xf numFmtId="172" fontId="10" fillId="13" borderId="15" xfId="0" applyNumberFormat="1" applyFont="1" applyFill="1" applyBorder="1" applyAlignment="1">
      <alignment horizontal="center" vertical="center"/>
    </xf>
    <xf numFmtId="172" fontId="10" fillId="16" borderId="15" xfId="0" applyNumberFormat="1" applyFont="1" applyFill="1" applyBorder="1" applyAlignment="1">
      <alignment horizontal="center" vertical="center"/>
    </xf>
    <xf numFmtId="0" fontId="10" fillId="16" borderId="2" xfId="0" applyFont="1" applyFill="1" applyBorder="1" applyAlignment="1">
      <alignment vertical="center"/>
    </xf>
    <xf numFmtId="0" fontId="4" fillId="16" borderId="7" xfId="0" applyFont="1" applyFill="1" applyBorder="1" applyAlignment="1">
      <alignment vertical="center"/>
    </xf>
    <xf numFmtId="0" fontId="4" fillId="16" borderId="7" xfId="0" applyFont="1" applyFill="1" applyBorder="1" applyProtection="1">
      <protection locked="0"/>
    </xf>
    <xf numFmtId="0" fontId="42" fillId="0" borderId="0" xfId="0" applyFont="1"/>
    <xf numFmtId="0" fontId="4" fillId="13" borderId="0" xfId="35" applyFont="1" applyFill="1"/>
    <xf numFmtId="0" fontId="2" fillId="0" borderId="0" xfId="35"/>
    <xf numFmtId="0" fontId="4" fillId="13" borderId="0" xfId="35" applyFont="1" applyFill="1" applyAlignment="1">
      <alignment vertical="center"/>
    </xf>
    <xf numFmtId="37" fontId="4" fillId="13" borderId="0" xfId="35" applyNumberFormat="1" applyFont="1" applyFill="1" applyAlignment="1">
      <alignment vertical="center"/>
    </xf>
    <xf numFmtId="0" fontId="4" fillId="13" borderId="2" xfId="35" applyFont="1" applyFill="1" applyBorder="1" applyAlignment="1">
      <alignment vertical="center"/>
    </xf>
    <xf numFmtId="0" fontId="4" fillId="13" borderId="0" xfId="35" applyFont="1" applyFill="1" applyAlignment="1">
      <alignment horizontal="center" vertical="center"/>
    </xf>
    <xf numFmtId="0" fontId="5" fillId="13" borderId="0" xfId="35" applyFont="1" applyFill="1" applyAlignment="1">
      <alignment horizontal="center" vertical="center"/>
    </xf>
    <xf numFmtId="172" fontId="4" fillId="13" borderId="0" xfId="35" applyNumberFormat="1" applyFont="1" applyFill="1" applyAlignment="1">
      <alignment vertical="center"/>
    </xf>
    <xf numFmtId="172" fontId="4" fillId="13" borderId="10" xfId="35" applyNumberFormat="1" applyFont="1" applyFill="1" applyBorder="1" applyAlignment="1">
      <alignment vertical="center"/>
    </xf>
    <xf numFmtId="0" fontId="43" fillId="16" borderId="0" xfId="35" applyFont="1" applyFill="1" applyAlignment="1">
      <alignment vertical="center"/>
    </xf>
    <xf numFmtId="0" fontId="43" fillId="13" borderId="0" xfId="35" applyFont="1" applyFill="1" applyAlignment="1">
      <alignment horizontal="center" vertical="center"/>
    </xf>
    <xf numFmtId="171" fontId="4" fillId="13" borderId="0" xfId="35" applyNumberFormat="1" applyFont="1" applyFill="1" applyAlignment="1">
      <alignment horizontal="center" vertical="center"/>
    </xf>
    <xf numFmtId="176" fontId="43" fillId="13" borderId="0" xfId="35" applyNumberFormat="1" applyFont="1" applyFill="1" applyAlignment="1">
      <alignment horizontal="center" vertical="center"/>
    </xf>
    <xf numFmtId="0" fontId="43" fillId="16" borderId="0" xfId="35" applyFont="1" applyFill="1" applyAlignment="1">
      <alignment horizontal="center" vertical="center"/>
    </xf>
    <xf numFmtId="0" fontId="45" fillId="16" borderId="0" xfId="35" applyFont="1" applyFill="1" applyAlignment="1">
      <alignment horizontal="center" vertical="center"/>
    </xf>
    <xf numFmtId="0" fontId="4" fillId="13" borderId="0" xfId="35" applyFont="1" applyFill="1" applyAlignment="1">
      <alignment horizontal="right" vertical="center"/>
    </xf>
    <xf numFmtId="0" fontId="4" fillId="13" borderId="0" xfId="35" applyFont="1" applyFill="1" applyAlignment="1">
      <alignment horizontal="left" vertical="center"/>
    </xf>
    <xf numFmtId="0" fontId="4" fillId="13" borderId="0" xfId="29" applyFont="1" applyFill="1"/>
    <xf numFmtId="0" fontId="2" fillId="13" borderId="0" xfId="35" applyFill="1"/>
    <xf numFmtId="0" fontId="3" fillId="13" borderId="0" xfId="29" applyFont="1" applyFill="1"/>
    <xf numFmtId="0" fontId="2" fillId="13" borderId="0" xfId="29" applyFill="1"/>
    <xf numFmtId="0" fontId="9" fillId="0" borderId="0" xfId="13" applyAlignment="1" applyProtection="1"/>
    <xf numFmtId="172" fontId="33" fillId="13" borderId="16" xfId="0" applyNumberFormat="1" applyFont="1" applyFill="1" applyBorder="1" applyAlignment="1">
      <alignment vertical="center"/>
    </xf>
    <xf numFmtId="172" fontId="33" fillId="16" borderId="15" xfId="0" applyNumberFormat="1" applyFont="1" applyFill="1" applyBorder="1" applyAlignment="1">
      <alignment horizontal="center" vertical="center"/>
    </xf>
    <xf numFmtId="0" fontId="33" fillId="16" borderId="2" xfId="0" applyFont="1" applyFill="1" applyBorder="1" applyAlignment="1">
      <alignment vertical="center"/>
    </xf>
    <xf numFmtId="0" fontId="33" fillId="16" borderId="7" xfId="0" applyFont="1" applyFill="1" applyBorder="1" applyAlignment="1">
      <alignment vertical="center"/>
    </xf>
    <xf numFmtId="37" fontId="4" fillId="3" borderId="0" xfId="0" applyNumberFormat="1" applyFont="1" applyFill="1" applyAlignment="1">
      <alignment horizontal="center" vertical="center"/>
    </xf>
    <xf numFmtId="37" fontId="4" fillId="3" borderId="0" xfId="0" applyNumberFormat="1" applyFont="1" applyFill="1" applyAlignment="1" applyProtection="1">
      <alignment horizontal="fill" vertical="center"/>
      <protection locked="0"/>
    </xf>
    <xf numFmtId="0" fontId="3" fillId="3" borderId="0" xfId="0" applyFont="1" applyFill="1" applyAlignment="1">
      <alignment horizontal="right"/>
    </xf>
    <xf numFmtId="6" fontId="4" fillId="13" borderId="0" xfId="35" applyNumberFormat="1" applyFont="1" applyFill="1" applyAlignment="1">
      <alignment horizontal="center" vertical="center"/>
    </xf>
    <xf numFmtId="1" fontId="4" fillId="3" borderId="14" xfId="0" applyNumberFormat="1" applyFont="1" applyFill="1" applyBorder="1" applyAlignment="1">
      <alignment horizontal="center" vertical="center"/>
    </xf>
    <xf numFmtId="37" fontId="4" fillId="3" borderId="14" xfId="0" applyNumberFormat="1" applyFont="1" applyFill="1" applyBorder="1" applyAlignment="1">
      <alignment horizontal="center" vertical="center"/>
    </xf>
    <xf numFmtId="0" fontId="4" fillId="3" borderId="12" xfId="0" applyFont="1" applyFill="1" applyBorder="1" applyAlignment="1">
      <alignment horizontal="left" vertical="center"/>
    </xf>
    <xf numFmtId="37" fontId="6" fillId="3" borderId="13" xfId="0" applyNumberFormat="1" applyFont="1" applyFill="1" applyBorder="1" applyAlignment="1">
      <alignment horizontal="center" vertical="center"/>
    </xf>
    <xf numFmtId="3" fontId="4" fillId="3" borderId="1" xfId="0" applyNumberFormat="1" applyFont="1" applyFill="1" applyBorder="1" applyAlignment="1">
      <alignment horizontal="right" vertical="center"/>
    </xf>
    <xf numFmtId="174" fontId="4" fillId="3" borderId="1" xfId="0" applyNumberFormat="1" applyFont="1" applyFill="1" applyBorder="1" applyAlignment="1">
      <alignment horizontal="right" vertical="center"/>
    </xf>
    <xf numFmtId="170" fontId="4"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175" fontId="4" fillId="3" borderId="0" xfId="494" applyNumberFormat="1" applyFont="1" applyFill="1" applyAlignment="1">
      <alignment horizontal="center" vertical="center"/>
    </xf>
    <xf numFmtId="0" fontId="36" fillId="0" borderId="0" xfId="0" applyFont="1" applyAlignment="1">
      <alignment vertical="center"/>
    </xf>
    <xf numFmtId="0" fontId="9" fillId="17" borderId="0" xfId="13" applyFill="1" applyAlignment="1" applyProtection="1"/>
    <xf numFmtId="0" fontId="39" fillId="17" borderId="0" xfId="378" applyFill="1"/>
    <xf numFmtId="3" fontId="4" fillId="13" borderId="1" xfId="0" applyNumberFormat="1" applyFont="1" applyFill="1" applyBorder="1" applyAlignment="1">
      <alignment vertical="center"/>
    </xf>
    <xf numFmtId="3" fontId="4" fillId="3" borderId="0" xfId="51" applyNumberFormat="1" applyFont="1" applyFill="1" applyAlignment="1">
      <alignment horizontal="right" vertical="center"/>
    </xf>
    <xf numFmtId="3" fontId="4" fillId="3" borderId="1" xfId="51" applyNumberFormat="1" applyFont="1" applyFill="1" applyBorder="1" applyAlignment="1">
      <alignment horizontal="right" vertical="center"/>
    </xf>
    <xf numFmtId="0" fontId="4" fillId="3" borderId="0" xfId="51" applyFont="1" applyFill="1" applyAlignment="1">
      <alignment horizontal="left" vertical="center"/>
    </xf>
    <xf numFmtId="3" fontId="4" fillId="4" borderId="3" xfId="0" applyNumberFormat="1" applyFont="1" applyFill="1" applyBorder="1" applyAlignment="1">
      <alignment vertical="center"/>
    </xf>
    <xf numFmtId="37" fontId="12" fillId="3" borderId="10" xfId="0" applyNumberFormat="1" applyFont="1" applyFill="1" applyBorder="1" applyAlignment="1">
      <alignment horizontal="center" vertical="center"/>
    </xf>
    <xf numFmtId="0" fontId="4" fillId="0" borderId="0" xfId="0" applyFont="1" applyAlignment="1">
      <alignment vertical="top" wrapText="1"/>
    </xf>
    <xf numFmtId="170" fontId="4" fillId="6" borderId="1" xfId="0" applyNumberFormat="1" applyFont="1" applyFill="1" applyBorder="1" applyAlignment="1" applyProtection="1">
      <alignment vertical="center"/>
      <protection locked="0"/>
    </xf>
    <xf numFmtId="170" fontId="4" fillId="6" borderId="3" xfId="0" applyNumberFormat="1" applyFont="1" applyFill="1" applyBorder="1" applyAlignment="1" applyProtection="1">
      <alignment vertical="center"/>
      <protection locked="0"/>
    </xf>
    <xf numFmtId="37" fontId="4" fillId="6" borderId="0" xfId="51" applyNumberFormat="1" applyFont="1" applyFill="1" applyAlignment="1" applyProtection="1">
      <alignment horizontal="center" vertical="center"/>
      <protection locked="0"/>
    </xf>
    <xf numFmtId="0" fontId="4" fillId="6" borderId="0" xfId="0" applyFont="1" applyFill="1" applyAlignment="1" applyProtection="1">
      <alignment horizontal="center" vertical="center"/>
      <protection locked="0"/>
    </xf>
    <xf numFmtId="37" fontId="3" fillId="3" borderId="0" xfId="29" applyNumberFormat="1" applyFont="1" applyFill="1" applyAlignment="1">
      <alignment horizontal="left" vertical="center"/>
    </xf>
    <xf numFmtId="37" fontId="4" fillId="3" borderId="0" xfId="29" applyNumberFormat="1" applyFont="1" applyFill="1" applyAlignment="1">
      <alignment horizontal="left" vertical="center"/>
    </xf>
    <xf numFmtId="0" fontId="4" fillId="13" borderId="0" xfId="29" applyFont="1" applyFill="1" applyAlignment="1">
      <alignment vertical="center"/>
    </xf>
    <xf numFmtId="0" fontId="3" fillId="8" borderId="14" xfId="0" applyFont="1" applyFill="1" applyBorder="1" applyAlignment="1">
      <alignment vertical="center"/>
    </xf>
    <xf numFmtId="0" fontId="4" fillId="8" borderId="13" xfId="0" applyFont="1" applyFill="1" applyBorder="1" applyAlignment="1">
      <alignment vertical="center"/>
    </xf>
    <xf numFmtId="37" fontId="3" fillId="11" borderId="16" xfId="0" applyNumberFormat="1" applyFont="1" applyFill="1" applyBorder="1" applyAlignment="1">
      <alignment horizontal="left" vertical="center"/>
    </xf>
    <xf numFmtId="0" fontId="4" fillId="11" borderId="12" xfId="0" applyFont="1" applyFill="1" applyBorder="1" applyAlignment="1">
      <alignment vertical="center"/>
    </xf>
    <xf numFmtId="37" fontId="3" fillId="11" borderId="15" xfId="0" applyNumberFormat="1" applyFont="1" applyFill="1" applyBorder="1" applyAlignment="1">
      <alignment horizontal="left" vertical="center"/>
    </xf>
    <xf numFmtId="0" fontId="4" fillId="11" borderId="7" xfId="0" applyFont="1" applyFill="1" applyBorder="1" applyAlignment="1">
      <alignment vertical="center"/>
    </xf>
    <xf numFmtId="37" fontId="4" fillId="3" borderId="5" xfId="0" applyNumberFormat="1" applyFont="1" applyFill="1" applyBorder="1" applyAlignment="1">
      <alignment vertical="center"/>
    </xf>
    <xf numFmtId="37" fontId="3" fillId="11" borderId="11" xfId="0" applyNumberFormat="1" applyFont="1" applyFill="1" applyBorder="1" applyAlignment="1">
      <alignment horizontal="left" vertical="center"/>
    </xf>
    <xf numFmtId="0" fontId="4" fillId="11" borderId="9" xfId="0" applyFont="1" applyFill="1" applyBorder="1" applyAlignment="1">
      <alignment vertical="center"/>
    </xf>
    <xf numFmtId="37" fontId="4" fillId="8" borderId="3" xfId="0" applyNumberFormat="1" applyFont="1" applyFill="1" applyBorder="1" applyAlignment="1">
      <alignment horizontal="center" vertical="center"/>
    </xf>
    <xf numFmtId="0" fontId="4" fillId="8" borderId="5" xfId="0" applyFont="1" applyFill="1" applyBorder="1" applyAlignment="1">
      <alignment horizontal="center" vertical="center"/>
    </xf>
    <xf numFmtId="164" fontId="4" fillId="2" borderId="5" xfId="0" applyNumberFormat="1" applyFont="1" applyFill="1" applyBorder="1" applyAlignment="1" applyProtection="1">
      <alignment vertical="center"/>
      <protection locked="0"/>
    </xf>
    <xf numFmtId="164" fontId="4" fillId="3" borderId="8" xfId="0" applyNumberFormat="1" applyFont="1" applyFill="1" applyBorder="1" applyAlignment="1" applyProtection="1">
      <alignment vertical="center"/>
      <protection locked="0"/>
    </xf>
    <xf numFmtId="37" fontId="4" fillId="7" borderId="11" xfId="0" applyNumberFormat="1" applyFont="1" applyFill="1" applyBorder="1" applyAlignment="1">
      <alignment horizontal="left" vertical="center"/>
    </xf>
    <xf numFmtId="0" fontId="4" fillId="7" borderId="9" xfId="0" applyFont="1" applyFill="1" applyBorder="1" applyAlignment="1">
      <alignment vertical="center"/>
    </xf>
    <xf numFmtId="37" fontId="11" fillId="8" borderId="14" xfId="0" applyNumberFormat="1" applyFont="1" applyFill="1" applyBorder="1" applyAlignment="1">
      <alignment horizontal="left" vertical="center"/>
    </xf>
    <xf numFmtId="0" fontId="5" fillId="7" borderId="13" xfId="0" applyFont="1" applyFill="1" applyBorder="1" applyAlignment="1">
      <alignment vertical="center"/>
    </xf>
    <xf numFmtId="0" fontId="4" fillId="8" borderId="16" xfId="0" applyFont="1" applyFill="1" applyBorder="1" applyAlignment="1">
      <alignment vertical="center"/>
    </xf>
    <xf numFmtId="0" fontId="4" fillId="8" borderId="12" xfId="0" applyFont="1" applyFill="1" applyBorder="1" applyAlignment="1">
      <alignment vertical="center"/>
    </xf>
    <xf numFmtId="0" fontId="4" fillId="8" borderId="15" xfId="0" applyFont="1" applyFill="1" applyBorder="1" applyAlignment="1">
      <alignment vertical="center"/>
    </xf>
    <xf numFmtId="0" fontId="4" fillId="8" borderId="7" xfId="0" applyFont="1" applyFill="1" applyBorder="1" applyAlignment="1">
      <alignment vertical="center"/>
    </xf>
    <xf numFmtId="0" fontId="4" fillId="8" borderId="11" xfId="0" applyFont="1" applyFill="1" applyBorder="1" applyAlignment="1">
      <alignment vertical="center"/>
    </xf>
    <xf numFmtId="0" fontId="4" fillId="8" borderId="9" xfId="0" applyFont="1" applyFill="1" applyBorder="1" applyAlignment="1">
      <alignment vertical="center"/>
    </xf>
    <xf numFmtId="37" fontId="3" fillId="8" borderId="11" xfId="0" applyNumberFormat="1" applyFont="1" applyFill="1" applyBorder="1" applyAlignment="1">
      <alignment horizontal="left" vertical="center"/>
    </xf>
    <xf numFmtId="3" fontId="4" fillId="8" borderId="9" xfId="0" applyNumberFormat="1" applyFont="1" applyFill="1" applyBorder="1" applyAlignment="1">
      <alignment vertical="center"/>
    </xf>
    <xf numFmtId="3" fontId="4" fillId="6" borderId="5" xfId="0" applyNumberFormat="1" applyFont="1" applyFill="1" applyBorder="1" applyAlignment="1" applyProtection="1">
      <alignment vertical="center"/>
      <protection locked="0"/>
    </xf>
    <xf numFmtId="0" fontId="3" fillId="8" borderId="11" xfId="0" applyFont="1" applyFill="1" applyBorder="1" applyAlignment="1">
      <alignment vertical="center"/>
    </xf>
    <xf numFmtId="0" fontId="1" fillId="8" borderId="8" xfId="0" applyFont="1" applyFill="1" applyBorder="1" applyAlignment="1">
      <alignment vertical="center"/>
    </xf>
    <xf numFmtId="0" fontId="0" fillId="8" borderId="8" xfId="0" applyFill="1" applyBorder="1" applyAlignment="1" applyProtection="1">
      <alignment vertical="center"/>
      <protection locked="0"/>
    </xf>
    <xf numFmtId="0" fontId="0" fillId="8" borderId="9" xfId="0" applyFill="1" applyBorder="1" applyAlignment="1" applyProtection="1">
      <alignment vertical="center"/>
      <protection locked="0"/>
    </xf>
    <xf numFmtId="175" fontId="4" fillId="2" borderId="5" xfId="0" applyNumberFormat="1" applyFont="1" applyFill="1" applyBorder="1" applyAlignment="1" applyProtection="1">
      <alignment vertical="center"/>
      <protection locked="0"/>
    </xf>
    <xf numFmtId="173" fontId="4" fillId="16" borderId="7" xfId="51" applyNumberFormat="1" applyFont="1" applyFill="1" applyBorder="1" applyAlignment="1">
      <alignment horizontal="center"/>
    </xf>
    <xf numFmtId="165" fontId="4" fillId="4" borderId="0" xfId="0" applyNumberFormat="1" applyFont="1" applyFill="1" applyAlignment="1">
      <alignment vertical="center"/>
    </xf>
    <xf numFmtId="3" fontId="4" fillId="2" borderId="1" xfId="29" applyNumberFormat="1" applyFont="1" applyFill="1" applyBorder="1" applyAlignment="1" applyProtection="1">
      <alignment vertical="center"/>
      <protection locked="0"/>
    </xf>
    <xf numFmtId="170" fontId="4" fillId="3" borderId="0" xfId="29" applyNumberFormat="1" applyFont="1" applyFill="1" applyAlignment="1">
      <alignment vertical="center"/>
    </xf>
    <xf numFmtId="37" fontId="4" fillId="3" borderId="8" xfId="29" applyNumberFormat="1" applyFont="1" applyFill="1" applyBorder="1" applyAlignment="1">
      <alignment horizontal="left" vertical="center"/>
    </xf>
    <xf numFmtId="37" fontId="4" fillId="3" borderId="5" xfId="29" applyNumberFormat="1" applyFont="1" applyFill="1" applyBorder="1" applyAlignment="1">
      <alignment horizontal="center" vertical="center"/>
    </xf>
    <xf numFmtId="37" fontId="4" fillId="3" borderId="10" xfId="29" applyNumberFormat="1" applyFont="1" applyFill="1" applyBorder="1" applyAlignment="1">
      <alignment horizontal="center" vertical="center"/>
    </xf>
    <xf numFmtId="165" fontId="4" fillId="13" borderId="0" xfId="29" applyNumberFormat="1" applyFont="1" applyFill="1" applyAlignment="1">
      <alignment vertical="center"/>
    </xf>
    <xf numFmtId="0" fontId="4" fillId="13" borderId="0" xfId="29" applyFont="1" applyFill="1" applyAlignment="1" applyProtection="1">
      <alignment vertical="center"/>
      <protection locked="0"/>
    </xf>
    <xf numFmtId="0" fontId="4" fillId="3" borderId="11" xfId="29" applyFont="1" applyFill="1" applyBorder="1" applyAlignment="1">
      <alignment horizontal="left" vertical="center"/>
    </xf>
    <xf numFmtId="0" fontId="4" fillId="2" borderId="1" xfId="29" applyFont="1" applyFill="1" applyBorder="1" applyAlignment="1" applyProtection="1">
      <alignment vertical="center"/>
      <protection locked="0"/>
    </xf>
    <xf numFmtId="0" fontId="4" fillId="6" borderId="1" xfId="29" applyFont="1" applyFill="1" applyBorder="1" applyAlignment="1" applyProtection="1">
      <alignment vertical="center"/>
      <protection locked="0"/>
    </xf>
    <xf numFmtId="0" fontId="4" fillId="3" borderId="13" xfId="0" applyFont="1" applyFill="1" applyBorder="1" applyAlignment="1">
      <alignment vertical="center"/>
    </xf>
    <xf numFmtId="37" fontId="4" fillId="3" borderId="16" xfId="0" applyNumberFormat="1" applyFont="1" applyFill="1" applyBorder="1" applyAlignment="1" applyProtection="1">
      <alignment vertical="center"/>
      <protection locked="0"/>
    </xf>
    <xf numFmtId="37" fontId="4" fillId="3" borderId="15" xfId="0" applyNumberFormat="1" applyFont="1" applyFill="1" applyBorder="1" applyAlignment="1" applyProtection="1">
      <alignment vertical="center"/>
      <protection locked="0"/>
    </xf>
    <xf numFmtId="0" fontId="4" fillId="3" borderId="15" xfId="0" applyFont="1" applyFill="1" applyBorder="1" applyAlignment="1">
      <alignment vertical="center"/>
    </xf>
    <xf numFmtId="0" fontId="4" fillId="3" borderId="10" xfId="13" applyNumberFormat="1" applyFont="1" applyFill="1" applyBorder="1" applyAlignment="1" applyProtection="1">
      <alignment horizontal="right" vertical="center"/>
    </xf>
    <xf numFmtId="0" fontId="4" fillId="3" borderId="10" xfId="51" applyFont="1" applyFill="1" applyBorder="1" applyAlignment="1">
      <alignment vertical="center"/>
    </xf>
    <xf numFmtId="0" fontId="4" fillId="3" borderId="13" xfId="13" applyNumberFormat="1" applyFont="1" applyFill="1" applyBorder="1" applyAlignment="1" applyProtection="1">
      <alignment horizontal="right" vertical="center"/>
    </xf>
    <xf numFmtId="0" fontId="4" fillId="3" borderId="12" xfId="13" applyNumberFormat="1" applyFont="1" applyFill="1" applyBorder="1" applyAlignment="1" applyProtection="1">
      <alignment horizontal="right" vertical="center"/>
    </xf>
    <xf numFmtId="0" fontId="4" fillId="3" borderId="15" xfId="51" applyFont="1" applyFill="1" applyBorder="1" applyAlignment="1">
      <alignment vertical="center"/>
    </xf>
    <xf numFmtId="0" fontId="4" fillId="3" borderId="2" xfId="13" applyNumberFormat="1" applyFont="1" applyFill="1" applyBorder="1" applyAlignment="1" applyProtection="1">
      <alignment horizontal="right" vertical="center"/>
    </xf>
    <xf numFmtId="0" fontId="4" fillId="3" borderId="2" xfId="51" applyFont="1" applyFill="1" applyBorder="1" applyAlignment="1">
      <alignment vertical="center"/>
    </xf>
    <xf numFmtId="0" fontId="4" fillId="3" borderId="7" xfId="13" applyNumberFormat="1" applyFont="1" applyFill="1" applyBorder="1" applyAlignment="1" applyProtection="1">
      <alignment horizontal="right" vertical="center"/>
    </xf>
    <xf numFmtId="0" fontId="4" fillId="3" borderId="10" xfId="0" applyFont="1" applyFill="1" applyBorder="1" applyAlignment="1">
      <alignment horizontal="right" vertical="center"/>
    </xf>
    <xf numFmtId="0" fontId="4" fillId="3" borderId="13" xfId="0" applyFont="1" applyFill="1" applyBorder="1" applyAlignment="1">
      <alignment horizontal="right" vertical="center"/>
    </xf>
    <xf numFmtId="0" fontId="4" fillId="3" borderId="12" xfId="0" applyFont="1" applyFill="1" applyBorder="1" applyAlignment="1">
      <alignment horizontal="right" vertical="center"/>
    </xf>
    <xf numFmtId="0" fontId="4" fillId="3" borderId="2" xfId="0" applyFont="1" applyFill="1" applyBorder="1" applyAlignment="1">
      <alignment horizontal="right" vertical="center"/>
    </xf>
    <xf numFmtId="0" fontId="4" fillId="3" borderId="7" xfId="0" applyFont="1" applyFill="1" applyBorder="1" applyAlignment="1">
      <alignment horizontal="right" vertical="center"/>
    </xf>
    <xf numFmtId="0" fontId="12" fillId="3" borderId="10"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5" xfId="0" applyFont="1" applyFill="1" applyBorder="1" applyAlignment="1">
      <alignment horizontal="right" vertical="center"/>
    </xf>
    <xf numFmtId="0" fontId="12" fillId="3" borderId="2" xfId="0" applyFont="1" applyFill="1" applyBorder="1" applyAlignment="1">
      <alignment horizontal="center" vertical="center"/>
    </xf>
    <xf numFmtId="0" fontId="0" fillId="3" borderId="13" xfId="0" applyFill="1" applyBorder="1" applyAlignment="1">
      <alignment vertical="center"/>
    </xf>
    <xf numFmtId="0" fontId="0" fillId="3" borderId="12" xfId="0" applyFill="1" applyBorder="1" applyAlignment="1">
      <alignment vertical="center"/>
    </xf>
    <xf numFmtId="0" fontId="4" fillId="3" borderId="16" xfId="0" applyFont="1" applyFill="1" applyBorder="1" applyAlignment="1">
      <alignment vertical="center"/>
    </xf>
    <xf numFmtId="0" fontId="4" fillId="3" borderId="12" xfId="0" applyFont="1" applyFill="1" applyBorder="1" applyAlignment="1">
      <alignment vertical="center"/>
    </xf>
    <xf numFmtId="37" fontId="3" fillId="3" borderId="14" xfId="0" applyNumberFormat="1" applyFont="1" applyFill="1" applyBorder="1" applyAlignment="1" applyProtection="1">
      <alignment vertical="center"/>
      <protection locked="0"/>
    </xf>
    <xf numFmtId="0" fontId="3" fillId="3" borderId="14" xfId="0" applyFont="1" applyFill="1" applyBorder="1" applyAlignment="1">
      <alignment vertical="center"/>
    </xf>
    <xf numFmtId="0" fontId="3" fillId="3" borderId="14" xfId="51" applyFont="1" applyFill="1" applyBorder="1" applyAlignment="1">
      <alignment vertical="center"/>
    </xf>
    <xf numFmtId="0" fontId="3" fillId="3" borderId="14" xfId="0" applyFont="1" applyFill="1" applyBorder="1" applyAlignment="1">
      <alignment horizontal="left" vertical="center"/>
    </xf>
    <xf numFmtId="0" fontId="3" fillId="0" borderId="0" xfId="0" applyFont="1" applyAlignment="1" applyProtection="1">
      <alignment vertical="center"/>
      <protection locked="0"/>
    </xf>
    <xf numFmtId="37" fontId="4" fillId="3" borderId="2" xfId="0" applyNumberFormat="1" applyFont="1" applyFill="1" applyBorder="1" applyAlignment="1" applyProtection="1">
      <alignment vertical="center"/>
      <protection locked="0"/>
    </xf>
    <xf numFmtId="0" fontId="4" fillId="6" borderId="2" xfId="0" applyFont="1" applyFill="1" applyBorder="1" applyAlignment="1" applyProtection="1">
      <alignment vertical="center"/>
      <protection locked="0"/>
    </xf>
    <xf numFmtId="0" fontId="4" fillId="6" borderId="8" xfId="0" applyFont="1" applyFill="1" applyBorder="1" applyAlignment="1" applyProtection="1">
      <alignment vertical="center"/>
      <protection locked="0"/>
    </xf>
    <xf numFmtId="37" fontId="18" fillId="3" borderId="0" xfId="0" applyNumberFormat="1" applyFont="1" applyFill="1" applyAlignment="1">
      <alignment horizontal="left" vertical="center"/>
    </xf>
    <xf numFmtId="0" fontId="20" fillId="0" borderId="0" xfId="0" applyFont="1" applyAlignment="1">
      <alignment horizontal="center" vertical="center" wrapText="1"/>
    </xf>
    <xf numFmtId="0" fontId="31" fillId="0" borderId="0" xfId="0" applyFont="1" applyAlignment="1">
      <alignment horizontal="center" vertical="center" wrapText="1"/>
    </xf>
    <xf numFmtId="0" fontId="44" fillId="0" borderId="0" xfId="0" applyFont="1" applyAlignment="1">
      <alignment vertical="center" wrapText="1"/>
    </xf>
    <xf numFmtId="0" fontId="47"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0" applyFont="1" applyAlignment="1">
      <alignment horizontal="left" vertical="center" indent="2"/>
    </xf>
    <xf numFmtId="0" fontId="48" fillId="0" borderId="0" xfId="0" applyFont="1" applyAlignment="1">
      <alignment horizontal="left" vertical="center" wrapText="1" indent="4"/>
    </xf>
    <xf numFmtId="0" fontId="11" fillId="0" borderId="0" xfId="0" applyFont="1" applyAlignment="1">
      <alignment vertical="center" wrapText="1"/>
    </xf>
    <xf numFmtId="0" fontId="11" fillId="0" borderId="0" xfId="0" applyFont="1" applyAlignment="1">
      <alignment horizontal="center"/>
    </xf>
    <xf numFmtId="0" fontId="4" fillId="0" borderId="0" xfId="0" quotePrefix="1" applyFont="1"/>
    <xf numFmtId="0" fontId="3" fillId="0" borderId="0" xfId="0" applyFont="1"/>
    <xf numFmtId="0" fontId="5" fillId="0" borderId="0" xfId="0" applyFont="1" applyAlignment="1">
      <alignment vertical="center" wrapText="1"/>
    </xf>
    <xf numFmtId="171" fontId="4" fillId="6" borderId="1" xfId="0" applyNumberFormat="1" applyFont="1" applyFill="1" applyBorder="1" applyAlignment="1" applyProtection="1">
      <alignment vertical="center"/>
      <protection locked="0"/>
    </xf>
    <xf numFmtId="0" fontId="50" fillId="15" borderId="0" xfId="474" applyFont="1" applyFill="1" applyAlignment="1">
      <alignment wrapText="1"/>
    </xf>
    <xf numFmtId="0" fontId="4" fillId="0" borderId="0" xfId="0" applyFont="1" applyAlignment="1">
      <alignment horizontal="right"/>
    </xf>
    <xf numFmtId="49" fontId="4" fillId="0" borderId="0" xfId="474" applyNumberFormat="1" applyFont="1" applyAlignment="1" applyProtection="1">
      <alignment horizontal="left" vertical="center"/>
      <protection locked="0"/>
    </xf>
    <xf numFmtId="0" fontId="0" fillId="0" borderId="0" xfId="0" applyAlignment="1">
      <alignment horizontal="left"/>
    </xf>
    <xf numFmtId="0" fontId="27" fillId="0" borderId="0" xfId="474" applyAlignment="1">
      <alignment horizontal="right"/>
    </xf>
    <xf numFmtId="0" fontId="27" fillId="0" borderId="0" xfId="474" applyAlignment="1">
      <alignment horizontal="left"/>
    </xf>
    <xf numFmtId="0" fontId="4" fillId="0" borderId="0" xfId="474" applyFont="1" applyAlignment="1">
      <alignment horizontal="right" vertical="center"/>
    </xf>
    <xf numFmtId="0" fontId="18" fillId="0" borderId="0" xfId="474" applyFont="1" applyAlignment="1">
      <alignment horizontal="left" vertical="center"/>
    </xf>
    <xf numFmtId="3" fontId="4" fillId="3" borderId="14"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3" fontId="4" fillId="3" borderId="0" xfId="0" applyNumberFormat="1" applyFont="1" applyFill="1" applyAlignment="1">
      <alignment horizontal="right" vertical="center"/>
    </xf>
    <xf numFmtId="0" fontId="4" fillId="3" borderId="5" xfId="0" quotePrefix="1" applyFont="1" applyFill="1" applyBorder="1" applyAlignment="1">
      <alignment horizontal="center"/>
    </xf>
    <xf numFmtId="0" fontId="4" fillId="0" borderId="2" xfId="0" applyFont="1" applyBorder="1"/>
    <xf numFmtId="171" fontId="18" fillId="3" borderId="5" xfId="0" applyNumberFormat="1" applyFont="1" applyFill="1" applyBorder="1" applyAlignment="1">
      <alignment horizontal="center" vertical="center"/>
    </xf>
    <xf numFmtId="37" fontId="4" fillId="3" borderId="6" xfId="0" applyNumberFormat="1" applyFont="1" applyFill="1" applyBorder="1" applyAlignment="1">
      <alignment horizontal="left" vertical="center"/>
    </xf>
    <xf numFmtId="3" fontId="4" fillId="3" borderId="18" xfId="0" applyNumberFormat="1" applyFont="1" applyFill="1" applyBorder="1" applyAlignment="1">
      <alignment horizontal="center" vertical="center"/>
    </xf>
    <xf numFmtId="171" fontId="4" fillId="3" borderId="18" xfId="0" applyNumberFormat="1" applyFont="1" applyFill="1" applyBorder="1" applyAlignment="1">
      <alignment horizontal="center" vertical="center"/>
    </xf>
    <xf numFmtId="171" fontId="33" fillId="16" borderId="15" xfId="0" applyNumberFormat="1" applyFont="1" applyFill="1" applyBorder="1" applyAlignment="1">
      <alignment horizontal="center" vertical="center"/>
    </xf>
    <xf numFmtId="0" fontId="34" fillId="13" borderId="0" xfId="0" applyFont="1" applyFill="1" applyAlignment="1">
      <alignment horizontal="center" vertical="center"/>
    </xf>
    <xf numFmtId="0" fontId="0" fillId="13" borderId="12" xfId="0" applyFill="1" applyBorder="1" applyAlignment="1">
      <alignment vertical="center"/>
    </xf>
    <xf numFmtId="171" fontId="33" fillId="13" borderId="15" xfId="0" applyNumberFormat="1" applyFont="1" applyFill="1" applyBorder="1" applyAlignment="1">
      <alignment horizontal="center" vertical="center"/>
    </xf>
    <xf numFmtId="171" fontId="35" fillId="13" borderId="15" xfId="0" applyNumberFormat="1" applyFont="1" applyFill="1" applyBorder="1" applyAlignment="1">
      <alignment horizontal="center" vertical="center"/>
    </xf>
    <xf numFmtId="0" fontId="35" fillId="13" borderId="0" xfId="0" applyFont="1" applyFill="1" applyAlignment="1">
      <alignment horizontal="left" vertical="center"/>
    </xf>
    <xf numFmtId="171" fontId="33" fillId="13" borderId="11" xfId="0" applyNumberFormat="1" applyFont="1" applyFill="1" applyBorder="1" applyAlignment="1">
      <alignment horizontal="center" vertical="center"/>
    </xf>
    <xf numFmtId="37" fontId="4" fillId="3" borderId="12" xfId="0" applyNumberFormat="1" applyFont="1" applyFill="1" applyBorder="1" applyAlignment="1">
      <alignment horizontal="right" vertical="center"/>
    </xf>
    <xf numFmtId="37" fontId="4" fillId="16" borderId="7" xfId="0" applyNumberFormat="1" applyFont="1" applyFill="1" applyBorder="1" applyAlignment="1">
      <alignment horizontal="right" vertical="center"/>
    </xf>
    <xf numFmtId="170" fontId="4" fillId="3" borderId="1" xfId="0" applyNumberFormat="1" applyFont="1" applyFill="1" applyBorder="1" applyAlignment="1">
      <alignment horizontal="centerContinuous" vertical="center"/>
    </xf>
    <xf numFmtId="170" fontId="4" fillId="3" borderId="1" xfId="0" applyNumberFormat="1"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3" fontId="3" fillId="3" borderId="11" xfId="0" applyNumberFormat="1" applyFont="1" applyFill="1" applyBorder="1" applyAlignment="1">
      <alignment vertical="center"/>
    </xf>
    <xf numFmtId="3" fontId="3" fillId="3" borderId="1" xfId="0" applyNumberFormat="1" applyFont="1" applyFill="1" applyBorder="1" applyAlignment="1">
      <alignment horizontal="right" vertical="center"/>
    </xf>
    <xf numFmtId="3" fontId="3" fillId="3" borderId="1" xfId="0" applyNumberFormat="1" applyFont="1" applyFill="1" applyBorder="1" applyAlignment="1">
      <alignment vertical="center"/>
    </xf>
    <xf numFmtId="3" fontId="3" fillId="3" borderId="1" xfId="51" applyNumberFormat="1" applyFont="1" applyFill="1" applyBorder="1" applyAlignment="1">
      <alignment horizontal="right" vertical="center"/>
    </xf>
    <xf numFmtId="3" fontId="4" fillId="3" borderId="17" xfId="0" applyNumberFormat="1" applyFont="1" applyFill="1" applyBorder="1" applyAlignment="1">
      <alignment horizontal="right" vertical="center"/>
    </xf>
    <xf numFmtId="0" fontId="4" fillId="3" borderId="17" xfId="0" applyFont="1" applyFill="1" applyBorder="1" applyAlignment="1">
      <alignment horizontal="right" vertical="center"/>
    </xf>
    <xf numFmtId="3" fontId="4" fillId="12" borderId="5" xfId="0" applyNumberFormat="1" applyFont="1" applyFill="1" applyBorder="1" applyAlignment="1">
      <alignment horizontal="center" vertical="center"/>
    </xf>
    <xf numFmtId="171" fontId="4" fillId="12" borderId="5" xfId="0" applyNumberFormat="1" applyFont="1" applyFill="1" applyBorder="1" applyAlignment="1">
      <alignment horizontal="center" vertical="center"/>
    </xf>
    <xf numFmtId="0" fontId="13" fillId="0" borderId="0" xfId="0" applyFont="1" applyAlignment="1">
      <alignment horizontal="center"/>
    </xf>
    <xf numFmtId="0" fontId="2" fillId="0" borderId="0" xfId="0" applyFont="1"/>
    <xf numFmtId="0" fontId="4" fillId="0" borderId="0" xfId="205" applyFont="1"/>
    <xf numFmtId="0" fontId="54" fillId="0" borderId="0" xfId="0" applyFont="1"/>
    <xf numFmtId="0" fontId="55" fillId="0" borderId="0" xfId="0" applyFont="1"/>
    <xf numFmtId="0" fontId="56" fillId="0" borderId="0" xfId="0" applyFont="1" applyAlignment="1">
      <alignment horizontal="left" vertical="center" readingOrder="1"/>
    </xf>
    <xf numFmtId="0" fontId="57" fillId="0" borderId="0" xfId="0" applyFont="1" applyAlignment="1">
      <alignment horizontal="left" vertical="center" indent="2" readingOrder="1"/>
    </xf>
    <xf numFmtId="0" fontId="57" fillId="0" borderId="2" xfId="0" applyFont="1" applyBorder="1" applyAlignment="1">
      <alignment horizontal="center" vertical="center" readingOrder="1"/>
    </xf>
    <xf numFmtId="0" fontId="58" fillId="0" borderId="0" xfId="0" applyFont="1" applyAlignment="1">
      <alignment horizontal="left" vertical="center" readingOrder="1"/>
    </xf>
    <xf numFmtId="0" fontId="0" fillId="19" borderId="0" xfId="0" applyFill="1"/>
    <xf numFmtId="0" fontId="56" fillId="19" borderId="0" xfId="0" applyFont="1" applyFill="1" applyAlignment="1">
      <alignment horizontal="left" vertical="center" readingOrder="1"/>
    </xf>
    <xf numFmtId="0" fontId="60" fillId="0" borderId="0" xfId="0" applyFont="1" applyAlignment="1">
      <alignment wrapText="1"/>
    </xf>
    <xf numFmtId="0" fontId="1" fillId="0" borderId="0" xfId="0" applyFont="1"/>
    <xf numFmtId="0" fontId="61" fillId="0" borderId="0" xfId="0" applyFont="1" applyAlignment="1">
      <alignment horizontal="left"/>
    </xf>
    <xf numFmtId="0" fontId="62" fillId="0" borderId="0" xfId="0" applyFont="1"/>
    <xf numFmtId="0" fontId="32" fillId="0" borderId="0" xfId="13" applyFont="1" applyAlignment="1" applyProtection="1"/>
    <xf numFmtId="0" fontId="5" fillId="0" borderId="0" xfId="29" applyFont="1" applyAlignment="1">
      <alignment wrapText="1"/>
    </xf>
    <xf numFmtId="0" fontId="4" fillId="0" borderId="0" xfId="29" applyFont="1" applyAlignment="1">
      <alignment vertical="center" wrapText="1"/>
    </xf>
    <xf numFmtId="0" fontId="5" fillId="0" borderId="0" xfId="0" applyFont="1" applyAlignment="1">
      <alignment wrapText="1"/>
    </xf>
    <xf numFmtId="0" fontId="5" fillId="0" borderId="0" xfId="91" applyFont="1" applyAlignment="1">
      <alignment vertical="center" wrapText="1"/>
    </xf>
    <xf numFmtId="0" fontId="4" fillId="0" borderId="0" xfId="91" applyFont="1" applyAlignment="1">
      <alignment vertical="center" wrapText="1"/>
    </xf>
    <xf numFmtId="0" fontId="4" fillId="0" borderId="0" xfId="125" applyFont="1" applyAlignment="1">
      <alignment vertical="center" wrapText="1"/>
    </xf>
    <xf numFmtId="0" fontId="4" fillId="0" borderId="0" xfId="96" applyFont="1" applyAlignment="1">
      <alignment vertical="center" wrapText="1"/>
    </xf>
    <xf numFmtId="0" fontId="4" fillId="0" borderId="0" xfId="469" applyFont="1" applyAlignment="1">
      <alignment vertical="center" wrapText="1"/>
    </xf>
    <xf numFmtId="0" fontId="62" fillId="0" borderId="0" xfId="511" applyFont="1"/>
    <xf numFmtId="0" fontId="62" fillId="0" borderId="0" xfId="511" applyFont="1" applyAlignment="1">
      <alignment horizontal="left" wrapText="1"/>
    </xf>
    <xf numFmtId="0" fontId="62" fillId="0" borderId="0" xfId="511" applyFont="1" applyAlignment="1">
      <alignment horizontal="center" wrapText="1"/>
    </xf>
    <xf numFmtId="0" fontId="62" fillId="0" borderId="0" xfId="511" applyFont="1" applyAlignment="1">
      <alignment horizontal="center"/>
    </xf>
    <xf numFmtId="0" fontId="65" fillId="20" borderId="1" xfId="511" applyFont="1" applyFill="1" applyBorder="1" applyAlignment="1">
      <alignment horizontal="center" vertical="center"/>
    </xf>
    <xf numFmtId="0" fontId="62" fillId="0" borderId="1" xfId="511" applyFont="1" applyBorder="1" applyAlignment="1">
      <alignment horizontal="center"/>
    </xf>
    <xf numFmtId="0" fontId="62" fillId="0" borderId="6" xfId="511" applyFont="1" applyBorder="1" applyAlignment="1">
      <alignment horizontal="center"/>
    </xf>
    <xf numFmtId="0" fontId="66" fillId="0" borderId="5" xfId="511" applyFont="1" applyBorder="1" applyAlignment="1">
      <alignment horizontal="center" vertical="center"/>
    </xf>
    <xf numFmtId="0" fontId="62" fillId="0" borderId="0" xfId="511" applyFont="1" applyAlignment="1">
      <alignment horizontal="right" wrapText="1"/>
    </xf>
    <xf numFmtId="0" fontId="62" fillId="0" borderId="0" xfId="511" applyFont="1" applyAlignment="1">
      <alignment wrapText="1"/>
    </xf>
    <xf numFmtId="0" fontId="4" fillId="2" borderId="11" xfId="35" applyFont="1" applyFill="1" applyBorder="1" applyAlignment="1" applyProtection="1">
      <alignment horizontal="left" vertical="center"/>
      <protection locked="0"/>
    </xf>
    <xf numFmtId="1" fontId="4" fillId="2" borderId="1" xfId="0" applyNumberFormat="1" applyFont="1" applyFill="1" applyBorder="1" applyAlignment="1" applyProtection="1">
      <alignment horizontal="center" vertical="center"/>
      <protection locked="0"/>
    </xf>
    <xf numFmtId="37" fontId="12" fillId="3" borderId="0" xfId="0" applyNumberFormat="1" applyFont="1" applyFill="1" applyAlignment="1">
      <alignment horizontal="center" vertical="center"/>
    </xf>
    <xf numFmtId="0" fontId="13" fillId="0" borderId="0" xfId="0" applyFont="1" applyAlignment="1">
      <alignment horizontal="center" vertical="center"/>
    </xf>
    <xf numFmtId="37" fontId="11" fillId="3" borderId="0" xfId="0" applyNumberFormat="1" applyFont="1" applyFill="1" applyAlignment="1">
      <alignment horizontal="center" vertical="center"/>
    </xf>
    <xf numFmtId="0" fontId="0" fillId="0" borderId="0" xfId="0" applyAlignment="1">
      <alignment horizontal="center" vertical="center"/>
    </xf>
    <xf numFmtId="37" fontId="3" fillId="3" borderId="0" xfId="29" applyNumberFormat="1" applyFont="1" applyFill="1" applyAlignment="1">
      <alignment vertical="center" wrapText="1"/>
    </xf>
    <xf numFmtId="0" fontId="4" fillId="3" borderId="14" xfId="29" applyFont="1" applyFill="1" applyBorder="1" applyAlignment="1">
      <alignment vertical="center" wrapText="1"/>
    </xf>
    <xf numFmtId="0" fontId="2" fillId="0" borderId="13" xfId="29" applyBorder="1" applyAlignment="1">
      <alignment vertical="center" wrapText="1"/>
    </xf>
    <xf numFmtId="0" fontId="2" fillId="0" borderId="16" xfId="29" applyBorder="1" applyAlignment="1">
      <alignment vertical="center" wrapText="1"/>
    </xf>
    <xf numFmtId="0" fontId="2" fillId="0" borderId="12" xfId="29" applyBorder="1" applyAlignment="1">
      <alignment vertical="center" wrapText="1"/>
    </xf>
    <xf numFmtId="0" fontId="2" fillId="0" borderId="15" xfId="29" applyBorder="1" applyAlignment="1">
      <alignment vertical="center" wrapText="1"/>
    </xf>
    <xf numFmtId="0" fontId="2" fillId="0" borderId="7" xfId="29" applyBorder="1" applyAlignment="1">
      <alignment vertical="center" wrapText="1"/>
    </xf>
    <xf numFmtId="37" fontId="4" fillId="6" borderId="11" xfId="0" applyNumberFormat="1" applyFont="1" applyFill="1" applyBorder="1" applyAlignment="1" applyProtection="1">
      <alignment horizontal="center" vertical="center"/>
      <protection locked="0"/>
    </xf>
    <xf numFmtId="37" fontId="4" fillId="6" borderId="9"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0" fontId="17" fillId="0" borderId="0" xfId="0" applyFont="1" applyAlignment="1">
      <alignment vertical="center"/>
    </xf>
    <xf numFmtId="0" fontId="4" fillId="5" borderId="10" xfId="0" applyFont="1" applyFill="1" applyBorder="1" applyAlignment="1">
      <alignment vertical="center" wrapText="1"/>
    </xf>
    <xf numFmtId="0" fontId="0" fillId="0" borderId="10" xfId="0" applyBorder="1" applyAlignment="1">
      <alignment vertical="center" wrapText="1"/>
    </xf>
    <xf numFmtId="0" fontId="3" fillId="7" borderId="0" xfId="0" applyFont="1" applyFill="1" applyAlignment="1">
      <alignment horizontal="center" vertical="center"/>
    </xf>
    <xf numFmtId="0" fontId="1" fillId="7" borderId="0" xfId="0" applyFont="1" applyFill="1" applyAlignment="1">
      <alignment horizontal="center" vertical="center"/>
    </xf>
    <xf numFmtId="0" fontId="49" fillId="18" borderId="0" xfId="0" applyFont="1" applyFill="1" applyAlignment="1">
      <alignment horizontal="center" vertical="center"/>
    </xf>
    <xf numFmtId="0" fontId="50" fillId="18" borderId="0" xfId="474" applyFont="1" applyFill="1" applyAlignment="1">
      <alignment horizontal="center" vertical="center" wrapText="1"/>
    </xf>
    <xf numFmtId="0" fontId="4" fillId="0" borderId="0" xfId="474" applyFont="1" applyAlignment="1">
      <alignment horizontal="center" vertical="center" wrapText="1"/>
    </xf>
    <xf numFmtId="49" fontId="4" fillId="6" borderId="11" xfId="474" applyNumberFormat="1" applyFont="1" applyFill="1" applyBorder="1" applyAlignment="1" applyProtection="1">
      <alignment horizontal="left" vertical="center"/>
      <protection locked="0"/>
    </xf>
    <xf numFmtId="49" fontId="4" fillId="6" borderId="8" xfId="474" applyNumberFormat="1" applyFont="1" applyFill="1" applyBorder="1" applyAlignment="1" applyProtection="1">
      <alignment horizontal="left" vertical="center"/>
      <protection locked="0"/>
    </xf>
    <xf numFmtId="49" fontId="4" fillId="6" borderId="9" xfId="474" applyNumberFormat="1" applyFont="1" applyFill="1" applyBorder="1" applyAlignment="1" applyProtection="1">
      <alignment horizontal="left" vertical="center"/>
      <protection locked="0"/>
    </xf>
    <xf numFmtId="0" fontId="18" fillId="0" borderId="0" xfId="0" applyFont="1" applyAlignment="1">
      <alignment horizontal="center" vertical="top" wrapText="1"/>
    </xf>
    <xf numFmtId="0" fontId="4" fillId="6" borderId="11" xfId="474" applyFont="1" applyFill="1" applyBorder="1" applyAlignment="1" applyProtection="1">
      <alignment horizontal="left" vertical="center"/>
      <protection locked="0"/>
    </xf>
    <xf numFmtId="0" fontId="4" fillId="6" borderId="8" xfId="474" applyFont="1" applyFill="1" applyBorder="1" applyAlignment="1" applyProtection="1">
      <alignment horizontal="left" vertical="center"/>
      <protection locked="0"/>
    </xf>
    <xf numFmtId="0" fontId="4" fillId="6" borderId="9" xfId="474" applyFont="1" applyFill="1" applyBorder="1" applyAlignment="1" applyProtection="1">
      <alignment horizontal="left" vertical="center"/>
      <protection locked="0"/>
    </xf>
    <xf numFmtId="0" fontId="3" fillId="17" borderId="0" xfId="0" applyFont="1" applyFill="1" applyAlignment="1">
      <alignment horizontal="left" vertical="top" wrapText="1"/>
    </xf>
    <xf numFmtId="0" fontId="28" fillId="3" borderId="0" xfId="0" applyFont="1" applyFill="1" applyAlignment="1">
      <alignment horizontal="center" vertical="center"/>
    </xf>
    <xf numFmtId="37"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vertical="center"/>
    </xf>
    <xf numFmtId="0" fontId="7" fillId="7" borderId="3" xfId="0" applyFont="1" applyFill="1" applyBorder="1" applyAlignment="1">
      <alignment horizontal="center" vertical="center" wrapText="1" shrinkToFit="1"/>
    </xf>
    <xf numFmtId="0" fontId="0" fillId="0" borderId="5" xfId="0" applyBorder="1" applyAlignment="1">
      <alignment horizontal="center" vertical="center" wrapText="1"/>
    </xf>
    <xf numFmtId="3" fontId="4" fillId="6" borderId="3" xfId="0" applyNumberFormat="1" applyFont="1" applyFill="1" applyBorder="1" applyAlignment="1" applyProtection="1">
      <alignment horizontal="center" vertical="center"/>
      <protection locked="0"/>
    </xf>
    <xf numFmtId="3" fontId="4" fillId="6" borderId="5" xfId="0" applyNumberFormat="1" applyFont="1" applyFill="1" applyBorder="1" applyAlignment="1" applyProtection="1">
      <alignment horizontal="center" vertical="center"/>
      <protection locked="0"/>
    </xf>
    <xf numFmtId="37" fontId="4" fillId="3" borderId="11" xfId="0" applyNumberFormat="1" applyFont="1" applyFill="1" applyBorder="1" applyAlignment="1">
      <alignment horizontal="left" vertical="center"/>
    </xf>
    <xf numFmtId="37" fontId="4" fillId="3" borderId="9" xfId="0" applyNumberFormat="1" applyFont="1" applyFill="1" applyBorder="1" applyAlignment="1">
      <alignment horizontal="left" vertical="center"/>
    </xf>
    <xf numFmtId="37" fontId="4" fillId="3" borderId="3" xfId="0" applyNumberFormat="1" applyFont="1" applyFill="1" applyBorder="1" applyAlignment="1">
      <alignment horizontal="center" vertical="center" wrapText="1"/>
    </xf>
    <xf numFmtId="37" fontId="4" fillId="3" borderId="4" xfId="0" applyNumberFormat="1" applyFont="1" applyFill="1" applyBorder="1" applyAlignment="1">
      <alignment horizontal="center" vertical="center" wrapText="1"/>
    </xf>
    <xf numFmtId="37" fontId="4" fillId="3" borderId="5" xfId="0" applyNumberFormat="1" applyFont="1" applyFill="1" applyBorder="1" applyAlignment="1">
      <alignment horizontal="center" vertical="center" wrapText="1"/>
    </xf>
    <xf numFmtId="0" fontId="4" fillId="3" borderId="0" xfId="0" applyFont="1" applyFill="1" applyAlignment="1">
      <alignment horizontal="right" vertical="center"/>
    </xf>
    <xf numFmtId="0" fontId="4" fillId="3" borderId="12" xfId="0" applyFont="1" applyFill="1" applyBorder="1" applyAlignment="1">
      <alignment horizontal="right" vertical="center"/>
    </xf>
    <xf numFmtId="37" fontId="4" fillId="3" borderId="11" xfId="0" applyNumberFormat="1"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3" borderId="0" xfId="0" applyFont="1" applyFill="1" applyAlignment="1">
      <alignment horizontal="center" vertical="center"/>
    </xf>
    <xf numFmtId="0" fontId="4" fillId="3" borderId="15" xfId="0" applyFont="1" applyFill="1" applyBorder="1" applyAlignment="1">
      <alignment horizontal="center" vertical="center"/>
    </xf>
    <xf numFmtId="0" fontId="0" fillId="0" borderId="7" xfId="0" applyBorder="1" applyAlignment="1">
      <alignment vertical="center"/>
    </xf>
    <xf numFmtId="1" fontId="4" fillId="3" borderId="15" xfId="0" applyNumberFormat="1" applyFont="1" applyFill="1" applyBorder="1" applyAlignment="1">
      <alignment horizontal="center" vertical="center"/>
    </xf>
    <xf numFmtId="0" fontId="0" fillId="0" borderId="7" xfId="0" applyBorder="1" applyAlignment="1">
      <alignment horizontal="center" vertical="center"/>
    </xf>
    <xf numFmtId="0" fontId="20" fillId="5" borderId="0" xfId="509" applyFont="1" applyFill="1" applyAlignment="1">
      <alignment horizontal="center"/>
    </xf>
    <xf numFmtId="0" fontId="11" fillId="13" borderId="0" xfId="495" applyFont="1" applyFill="1" applyAlignment="1">
      <alignment horizontal="center"/>
    </xf>
    <xf numFmtId="0" fontId="2" fillId="13" borderId="0" xfId="35" applyFill="1" applyAlignment="1">
      <alignment horizontal="center"/>
    </xf>
    <xf numFmtId="0" fontId="3" fillId="13" borderId="0" xfId="35" applyFont="1" applyFill="1" applyAlignment="1">
      <alignment horizontal="center" vertical="center"/>
    </xf>
    <xf numFmtId="0" fontId="11" fillId="13" borderId="0" xfId="35" applyFont="1" applyFill="1" applyAlignment="1">
      <alignment horizontal="center" vertical="center"/>
    </xf>
    <xf numFmtId="0" fontId="4" fillId="13" borderId="0" xfId="35" applyFont="1" applyFill="1" applyAlignment="1">
      <alignment vertical="center" wrapText="1"/>
    </xf>
    <xf numFmtId="0" fontId="34" fillId="13" borderId="14" xfId="51" applyFont="1" applyFill="1" applyBorder="1" applyAlignment="1">
      <alignment horizontal="center" vertical="center"/>
    </xf>
    <xf numFmtId="0" fontId="34" fillId="13" borderId="10" xfId="51" applyFont="1" applyFill="1" applyBorder="1" applyAlignment="1">
      <alignment horizontal="center" vertical="center"/>
    </xf>
    <xf numFmtId="0" fontId="2" fillId="0" borderId="13" xfId="51" applyBorder="1" applyAlignment="1">
      <alignment vertical="center"/>
    </xf>
    <xf numFmtId="3" fontId="4" fillId="3" borderId="10" xfId="56" applyNumberFormat="1" applyFont="1" applyFill="1" applyBorder="1" applyAlignment="1">
      <alignment horizontal="right" vertical="center"/>
    </xf>
    <xf numFmtId="0" fontId="2" fillId="0" borderId="13" xfId="56" applyBorder="1" applyAlignment="1">
      <alignment horizontal="right" vertical="center"/>
    </xf>
    <xf numFmtId="0" fontId="4" fillId="3" borderId="0" xfId="56" applyFont="1" applyFill="1" applyAlignment="1">
      <alignment horizontal="right" vertical="center"/>
    </xf>
    <xf numFmtId="0" fontId="4" fillId="0" borderId="12" xfId="56" applyFont="1" applyBorder="1" applyAlignment="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3" xfId="0" applyBorder="1" applyAlignment="1">
      <alignment vertical="center"/>
    </xf>
    <xf numFmtId="171" fontId="34" fillId="13" borderId="14" xfId="0" applyNumberFormat="1" applyFont="1" applyFill="1" applyBorder="1" applyAlignment="1">
      <alignment horizontal="center" wrapText="1"/>
    </xf>
    <xf numFmtId="171" fontId="34" fillId="13" borderId="10" xfId="0" applyNumberFormat="1" applyFont="1" applyFill="1" applyBorder="1" applyAlignment="1">
      <alignment horizontal="center" wrapText="1"/>
    </xf>
    <xf numFmtId="171" fontId="34" fillId="13" borderId="13" xfId="0" applyNumberFormat="1" applyFont="1" applyFill="1" applyBorder="1" applyAlignment="1">
      <alignment horizontal="center" wrapText="1"/>
    </xf>
    <xf numFmtId="171" fontId="34" fillId="13" borderId="16" xfId="0" applyNumberFormat="1" applyFont="1" applyFill="1" applyBorder="1" applyAlignment="1">
      <alignment horizontal="center" wrapText="1"/>
    </xf>
    <xf numFmtId="171" fontId="34" fillId="13" borderId="0" xfId="0" applyNumberFormat="1" applyFont="1" applyFill="1" applyAlignment="1">
      <alignment horizontal="center" wrapText="1"/>
    </xf>
    <xf numFmtId="171" fontId="34" fillId="13" borderId="12" xfId="0" applyNumberFormat="1" applyFont="1" applyFill="1" applyBorder="1" applyAlignment="1">
      <alignment horizontal="center" wrapText="1"/>
    </xf>
    <xf numFmtId="0" fontId="4" fillId="13" borderId="16"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5" xfId="0" applyFont="1" applyFill="1" applyBorder="1" applyAlignment="1">
      <alignment horizontal="center" vertical="center" wrapText="1"/>
    </xf>
    <xf numFmtId="0" fontId="4" fillId="13" borderId="2" xfId="0" applyFont="1" applyFill="1" applyBorder="1" applyAlignment="1">
      <alignment horizontal="center" vertical="center" wrapText="1"/>
    </xf>
    <xf numFmtId="49" fontId="51" fillId="13" borderId="12" xfId="0" applyNumberFormat="1" applyFont="1" applyFill="1" applyBorder="1" applyAlignment="1">
      <alignment horizontal="center" vertical="center"/>
    </xf>
    <xf numFmtId="49" fontId="51" fillId="13" borderId="7" xfId="0" applyNumberFormat="1" applyFont="1" applyFill="1" applyBorder="1" applyAlignment="1">
      <alignment horizontal="center" vertical="center"/>
    </xf>
    <xf numFmtId="0" fontId="43" fillId="0" borderId="10" xfId="0" applyFont="1" applyBorder="1" applyAlignment="1" applyProtection="1">
      <alignment horizontal="center" vertical="center" wrapText="1"/>
      <protection locked="0"/>
    </xf>
    <xf numFmtId="0" fontId="43" fillId="0" borderId="0" xfId="0" applyFont="1" applyAlignment="1" applyProtection="1">
      <alignment horizontal="center" vertical="center" wrapText="1"/>
      <protection locked="0"/>
    </xf>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0" fontId="34" fillId="13" borderId="14" xfId="0" applyFont="1" applyFill="1" applyBorder="1" applyAlignment="1">
      <alignment horizontal="center" vertical="center"/>
    </xf>
    <xf numFmtId="0" fontId="0" fillId="0" borderId="10" xfId="0" applyBorder="1" applyAlignment="1">
      <alignment horizontal="center" vertical="center"/>
    </xf>
    <xf numFmtId="0" fontId="0" fillId="0" borderId="13" xfId="0" applyBorder="1"/>
    <xf numFmtId="0" fontId="34" fillId="13" borderId="10" xfId="0" applyFont="1" applyFill="1" applyBorder="1" applyAlignment="1">
      <alignment horizontal="center" vertical="center"/>
    </xf>
    <xf numFmtId="0" fontId="34" fillId="13" borderId="13" xfId="0" applyFont="1" applyFill="1" applyBorder="1" applyAlignment="1">
      <alignment horizontal="center" vertical="center"/>
    </xf>
    <xf numFmtId="0" fontId="37" fillId="0" borderId="10" xfId="0" applyFont="1" applyBorder="1" applyAlignment="1">
      <alignment horizontal="center" vertical="center"/>
    </xf>
    <xf numFmtId="0" fontId="4" fillId="5" borderId="0" xfId="0" applyFont="1" applyFill="1" applyAlignment="1">
      <alignment horizontal="right"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49" fillId="13" borderId="13" xfId="0" applyFont="1" applyFill="1" applyBorder="1" applyAlignment="1">
      <alignment horizontal="center" vertical="center" wrapText="1"/>
    </xf>
    <xf numFmtId="0" fontId="50" fillId="13" borderId="7" xfId="0" applyFont="1" applyFill="1" applyBorder="1" applyAlignment="1">
      <alignment horizontal="center" vertical="center" wrapText="1"/>
    </xf>
    <xf numFmtId="37" fontId="4" fillId="3" borderId="3" xfId="35" applyNumberFormat="1" applyFont="1" applyFill="1" applyBorder="1" applyAlignment="1">
      <alignment horizontal="center" wrapText="1"/>
    </xf>
    <xf numFmtId="37" fontId="4" fillId="3" borderId="5" xfId="35" applyNumberFormat="1" applyFont="1" applyFill="1" applyBorder="1" applyAlignment="1">
      <alignment horizontal="center" wrapText="1"/>
    </xf>
    <xf numFmtId="37" fontId="4" fillId="3" borderId="3" xfId="0" applyNumberFormat="1" applyFont="1" applyFill="1" applyBorder="1" applyAlignment="1">
      <alignment horizontal="center" wrapText="1"/>
    </xf>
    <xf numFmtId="37" fontId="4" fillId="3" borderId="5" xfId="0" applyNumberFormat="1" applyFont="1" applyFill="1" applyBorder="1" applyAlignment="1">
      <alignment horizontal="center" wrapText="1"/>
    </xf>
    <xf numFmtId="37" fontId="18" fillId="3" borderId="15" xfId="0" applyNumberFormat="1" applyFont="1" applyFill="1" applyBorder="1" applyAlignment="1">
      <alignment horizontal="right" vertical="center"/>
    </xf>
    <xf numFmtId="37" fontId="18" fillId="3" borderId="2" xfId="0" applyNumberFormat="1" applyFont="1" applyFill="1" applyBorder="1" applyAlignment="1">
      <alignment horizontal="right" vertical="center"/>
    </xf>
    <xf numFmtId="37" fontId="18" fillId="3" borderId="7" xfId="0" applyNumberFormat="1" applyFont="1" applyFill="1" applyBorder="1" applyAlignment="1">
      <alignment horizontal="right" vertical="center"/>
    </xf>
    <xf numFmtId="0" fontId="3" fillId="13" borderId="14" xfId="0" applyFont="1" applyFill="1" applyBorder="1" applyAlignment="1">
      <alignment horizontal="center" wrapText="1"/>
    </xf>
    <xf numFmtId="0" fontId="11" fillId="13" borderId="10" xfId="0" applyFont="1" applyFill="1" applyBorder="1" applyAlignment="1">
      <alignment horizontal="center" wrapText="1"/>
    </xf>
    <xf numFmtId="0" fontId="11" fillId="13" borderId="15" xfId="0" applyFont="1" applyFill="1" applyBorder="1" applyAlignment="1">
      <alignment horizontal="center" wrapText="1"/>
    </xf>
    <xf numFmtId="0" fontId="11" fillId="13" borderId="2" xfId="0" applyFont="1" applyFill="1" applyBorder="1" applyAlignment="1">
      <alignment horizontal="center" wrapText="1"/>
    </xf>
    <xf numFmtId="37" fontId="3" fillId="17" borderId="0" xfId="0" applyNumberFormat="1" applyFont="1" applyFill="1" applyAlignment="1">
      <alignment horizontal="center" vertical="center"/>
    </xf>
    <xf numFmtId="37" fontId="4" fillId="13" borderId="0" xfId="0" applyNumberFormat="1" applyFont="1" applyFill="1" applyAlignment="1">
      <alignment horizontal="center" vertical="center"/>
    </xf>
    <xf numFmtId="0" fontId="11" fillId="13" borderId="14" xfId="51" applyFont="1" applyFill="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37" fontId="4" fillId="13" borderId="0" xfId="78" applyNumberFormat="1" applyFont="1" applyFill="1" applyAlignment="1">
      <alignment horizontal="center"/>
    </xf>
    <xf numFmtId="37" fontId="4" fillId="3" borderId="2" xfId="0" applyNumberFormat="1" applyFont="1" applyFill="1" applyBorder="1" applyAlignment="1" applyProtection="1">
      <alignment horizontal="center" vertical="center"/>
      <protection locked="0"/>
    </xf>
    <xf numFmtId="0" fontId="2" fillId="0" borderId="10" xfId="51" applyBorder="1" applyAlignment="1">
      <alignment horizontal="center"/>
    </xf>
    <xf numFmtId="0" fontId="2" fillId="0" borderId="13" xfId="51" applyBorder="1" applyAlignment="1">
      <alignment horizontal="center"/>
    </xf>
    <xf numFmtId="0" fontId="11" fillId="13" borderId="10" xfId="51" applyFont="1" applyFill="1" applyBorder="1" applyAlignment="1">
      <alignment horizontal="center"/>
    </xf>
    <xf numFmtId="0" fontId="11" fillId="13" borderId="13" xfId="51" applyFont="1" applyFill="1" applyBorder="1" applyAlignment="1">
      <alignment horizontal="center"/>
    </xf>
    <xf numFmtId="37" fontId="4" fillId="3" borderId="3" xfId="0" applyNumberFormat="1" applyFont="1" applyFill="1" applyBorder="1" applyAlignment="1">
      <alignment horizontal="center"/>
    </xf>
    <xf numFmtId="37" fontId="4" fillId="3" borderId="5" xfId="0" applyNumberFormat="1" applyFont="1" applyFill="1" applyBorder="1" applyAlignment="1">
      <alignment horizontal="center"/>
    </xf>
    <xf numFmtId="0" fontId="11" fillId="3" borderId="0" xfId="0" applyFont="1" applyFill="1" applyAlignment="1">
      <alignment horizontal="center" vertical="center"/>
    </xf>
    <xf numFmtId="37" fontId="3" fillId="3" borderId="0" xfId="0" applyNumberFormat="1" applyFont="1" applyFill="1" applyAlignment="1">
      <alignment horizontal="center" vertical="center"/>
    </xf>
    <xf numFmtId="0" fontId="4" fillId="3" borderId="1" xfId="0"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3" fillId="17" borderId="0" xfId="0" applyFont="1" applyFill="1" applyAlignment="1">
      <alignment horizontal="center" vertical="center"/>
    </xf>
    <xf numFmtId="0" fontId="4" fillId="17" borderId="0" xfId="0" applyFont="1" applyFill="1" applyAlignment="1">
      <alignment horizontal="right" vertical="center"/>
    </xf>
    <xf numFmtId="0" fontId="11"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62" fillId="0" borderId="1" xfId="511" applyFont="1" applyBorder="1" applyAlignment="1">
      <alignment horizontal="center"/>
    </xf>
    <xf numFmtId="0" fontId="62" fillId="0" borderId="6" xfId="511" applyFont="1" applyBorder="1" applyAlignment="1">
      <alignment horizontal="center"/>
    </xf>
    <xf numFmtId="0" fontId="66" fillId="0" borderId="5" xfId="511" applyFont="1" applyBorder="1" applyAlignment="1">
      <alignment horizontal="center" vertical="center"/>
    </xf>
    <xf numFmtId="0" fontId="62" fillId="0" borderId="2" xfId="511" applyFont="1" applyBorder="1" applyAlignment="1">
      <alignment horizontal="center" wrapText="1"/>
    </xf>
    <xf numFmtId="0" fontId="62" fillId="0" borderId="11" xfId="511" applyFont="1" applyBorder="1" applyAlignment="1">
      <alignment horizontal="center"/>
    </xf>
    <xf numFmtId="0" fontId="62" fillId="0" borderId="8" xfId="511" applyFont="1" applyBorder="1" applyAlignment="1">
      <alignment horizontal="center"/>
    </xf>
    <xf numFmtId="0" fontId="62" fillId="0" borderId="9" xfId="511" applyFont="1" applyBorder="1" applyAlignment="1">
      <alignment horizontal="center"/>
    </xf>
    <xf numFmtId="0" fontId="63" fillId="0" borderId="0" xfId="511" applyFont="1" applyAlignment="1">
      <alignment horizontal="center"/>
    </xf>
    <xf numFmtId="0" fontId="62" fillId="0" borderId="0" xfId="511" applyFont="1" applyAlignment="1">
      <alignment horizontal="center" wrapText="1"/>
    </xf>
    <xf numFmtId="0" fontId="62" fillId="0" borderId="0" xfId="511" applyFont="1" applyAlignment="1">
      <alignment horizontal="center"/>
    </xf>
    <xf numFmtId="0" fontId="65" fillId="20" borderId="11" xfId="511" applyFont="1" applyFill="1" applyBorder="1" applyAlignment="1">
      <alignment horizontal="center" vertical="center"/>
    </xf>
    <xf numFmtId="0" fontId="65" fillId="20" borderId="8" xfId="511" applyFont="1" applyFill="1" applyBorder="1" applyAlignment="1">
      <alignment horizontal="center" vertical="center"/>
    </xf>
    <xf numFmtId="0" fontId="65" fillId="20" borderId="9" xfId="511" applyFont="1" applyFill="1" applyBorder="1" applyAlignment="1">
      <alignment horizontal="center" vertical="center"/>
    </xf>
    <xf numFmtId="0" fontId="4" fillId="0" borderId="0" xfId="0" applyFont="1" applyAlignment="1">
      <alignment wrapText="1"/>
    </xf>
    <xf numFmtId="0" fontId="3" fillId="0" borderId="0" xfId="0" applyFont="1" applyAlignment="1">
      <alignment wrapText="1"/>
    </xf>
    <xf numFmtId="0" fontId="52" fillId="0" borderId="0" xfId="0" quotePrefix="1" applyFont="1" applyAlignment="1">
      <alignment horizontal="center" vertical="center"/>
    </xf>
    <xf numFmtId="0" fontId="52" fillId="0" borderId="0" xfId="0" applyFont="1" applyAlignment="1">
      <alignment horizontal="center" vertical="center"/>
    </xf>
    <xf numFmtId="0" fontId="49" fillId="0" borderId="0" xfId="0" applyFont="1" applyAlignment="1">
      <alignment horizontal="center" vertical="center"/>
    </xf>
    <xf numFmtId="0" fontId="60" fillId="0" borderId="0" xfId="0" applyFont="1" applyAlignment="1">
      <alignment horizontal="center" wrapText="1"/>
    </xf>
  </cellXfs>
  <cellStyles count="512">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2 2 2" xfId="127"/>
    <cellStyle name="Normal 2 10 11 2 2 3" xfId="128"/>
    <cellStyle name="Normal 2 10 11 3" xfId="129"/>
    <cellStyle name="Normal 2 10 11 4" xfId="130"/>
    <cellStyle name="Normal 2 10 11 5" xfId="131"/>
    <cellStyle name="Normal 2 10 12" xfId="132"/>
    <cellStyle name="Normal 2 10 2" xfId="133"/>
    <cellStyle name="Normal 2 10 2 2" xfId="134"/>
    <cellStyle name="Normal 2 10 3" xfId="135"/>
    <cellStyle name="Normal 2 10 3 2" xfId="136"/>
    <cellStyle name="Normal 2 10 4" xfId="137"/>
    <cellStyle name="Normal 2 10 4 2" xfId="138"/>
    <cellStyle name="Normal 2 10 5" xfId="139"/>
    <cellStyle name="Normal 2 10 5 2" xfId="140"/>
    <cellStyle name="Normal 2 10 6" xfId="141"/>
    <cellStyle name="Normal 2 10 6 2" xfId="142"/>
    <cellStyle name="Normal 2 10 7" xfId="143"/>
    <cellStyle name="Normal 2 10 7 2" xfId="144"/>
    <cellStyle name="Normal 2 10 8" xfId="145"/>
    <cellStyle name="Normal 2 10 8 2" xfId="146"/>
    <cellStyle name="Normal 2 10 9" xfId="147"/>
    <cellStyle name="Normal 2 11" xfId="148"/>
    <cellStyle name="Normal 2 11 10" xfId="149"/>
    <cellStyle name="Normal 2 11 11" xfId="150"/>
    <cellStyle name="Normal 2 11 2" xfId="151"/>
    <cellStyle name="Normal 2 11 2 2" xfId="152"/>
    <cellStyle name="Normal 2 11 3" xfId="153"/>
    <cellStyle name="Normal 2 11 3 2" xfId="154"/>
    <cellStyle name="Normal 2 11 4" xfId="155"/>
    <cellStyle name="Normal 2 11 4 2" xfId="156"/>
    <cellStyle name="Normal 2 11 5" xfId="157"/>
    <cellStyle name="Normal 2 11 5 2" xfId="158"/>
    <cellStyle name="Normal 2 11 6" xfId="159"/>
    <cellStyle name="Normal 2 11 6 2" xfId="160"/>
    <cellStyle name="Normal 2 11 7" xfId="161"/>
    <cellStyle name="Normal 2 11 7 2" xfId="162"/>
    <cellStyle name="Normal 2 11 8" xfId="163"/>
    <cellStyle name="Normal 2 11 8 2" xfId="164"/>
    <cellStyle name="Normal 2 11 9" xfId="165"/>
    <cellStyle name="Normal 2 12" xfId="166"/>
    <cellStyle name="Normal 2 13" xfId="167"/>
    <cellStyle name="Normal 2 14" xfId="168"/>
    <cellStyle name="Normal 2 15" xfId="169"/>
    <cellStyle name="Normal 2 16" xfId="170"/>
    <cellStyle name="Normal 2 17" xfId="171"/>
    <cellStyle name="Normal 2 17 2" xfId="172"/>
    <cellStyle name="Normal 2 17 3" xfId="173"/>
    <cellStyle name="Normal 2 2" xfId="174"/>
    <cellStyle name="Normal 2 2 10" xfId="175"/>
    <cellStyle name="Normal 2 2 10 2" xfId="176"/>
    <cellStyle name="Normal 2 2 11" xfId="177"/>
    <cellStyle name="Normal 2 2 11 2" xfId="178"/>
    <cellStyle name="Normal 2 2 12" xfId="179"/>
    <cellStyle name="Normal 2 2 12 2" xfId="180"/>
    <cellStyle name="Normal 2 2 12 2 2" xfId="181"/>
    <cellStyle name="Normal 2 2 12 2 3" xfId="182"/>
    <cellStyle name="Normal 2 2 12 2 4" xfId="183"/>
    <cellStyle name="Normal 2 2 12 3" xfId="184"/>
    <cellStyle name="Normal 2 2 12 4" xfId="185"/>
    <cellStyle name="Normal 2 2 13" xfId="186"/>
    <cellStyle name="Normal 2 2 13 2" xfId="187"/>
    <cellStyle name="Normal 2 2 13 2 2" xfId="188"/>
    <cellStyle name="Normal 2 2 13 2 3" xfId="189"/>
    <cellStyle name="Normal 2 2 13 2 4" xfId="190"/>
    <cellStyle name="Normal 2 2 13 3" xfId="191"/>
    <cellStyle name="Normal 2 2 13 4" xfId="192"/>
    <cellStyle name="Normal 2 2 14" xfId="193"/>
    <cellStyle name="Normal 2 2 14 2" xfId="194"/>
    <cellStyle name="Normal 2 2 15" xfId="195"/>
    <cellStyle name="Normal 2 2 15 2" xfId="196"/>
    <cellStyle name="Normal 2 2 16" xfId="197"/>
    <cellStyle name="Normal 2 2 16 2" xfId="198"/>
    <cellStyle name="Normal 2 2 16 3" xfId="199"/>
    <cellStyle name="Normal 2 2 17" xfId="200"/>
    <cellStyle name="Normal 2 2 18" xfId="201"/>
    <cellStyle name="Normal 2 2 19" xfId="202"/>
    <cellStyle name="Normal 2 2 2" xfId="203"/>
    <cellStyle name="Normal 2 2 2 2" xfId="204"/>
    <cellStyle name="Normal 2 2 2 2 2" xfId="205"/>
    <cellStyle name="Normal 2 2 2 2 3" xfId="206"/>
    <cellStyle name="Normal 2 2 2 2 3 2" xfId="207"/>
    <cellStyle name="Normal 2 2 2 2 3 3" xfId="208"/>
    <cellStyle name="Normal 2 2 2 3" xfId="209"/>
    <cellStyle name="Normal 2 2 2 3 2" xfId="210"/>
    <cellStyle name="Normal 2 2 2 3 3" xfId="211"/>
    <cellStyle name="Normal 2 2 2 3 4" xfId="212"/>
    <cellStyle name="Normal 2 2 2 4" xfId="213"/>
    <cellStyle name="Normal 2 2 2 4 2" xfId="214"/>
    <cellStyle name="Normal 2 2 2 5" xfId="215"/>
    <cellStyle name="Normal 2 2 2 5 2" xfId="216"/>
    <cellStyle name="Normal 2 2 2 5 3" xfId="217"/>
    <cellStyle name="Normal 2 2 2 5 4" xfId="218"/>
    <cellStyle name="Normal 2 2 2 6" xfId="219"/>
    <cellStyle name="Normal 2 2 2 6 2" xfId="220"/>
    <cellStyle name="Normal 2 2 2 7" xfId="221"/>
    <cellStyle name="Normal 2 2 2 7 2" xfId="222"/>
    <cellStyle name="Normal 2 2 2 7 3"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2 5" xfId="255"/>
    <cellStyle name="Normal 2 3 3" xfId="256"/>
    <cellStyle name="Normal 2 3 3 2" xfId="257"/>
    <cellStyle name="Normal 2 3 3 3" xfId="258"/>
    <cellStyle name="Normal 2 3 4" xfId="259"/>
    <cellStyle name="Normal 2 3 5" xfId="260"/>
    <cellStyle name="Normal 2 3 6" xfId="261"/>
    <cellStyle name="Normal 2 3 7" xfId="262"/>
    <cellStyle name="Normal 2 3 8" xfId="263"/>
    <cellStyle name="Normal 2 3 9" xfId="264"/>
    <cellStyle name="Normal 2 4" xfId="265"/>
    <cellStyle name="Normal 2 4 10" xfId="266"/>
    <cellStyle name="Normal 2 4 11" xfId="267"/>
    <cellStyle name="Normal 2 4 12" xfId="268"/>
    <cellStyle name="Normal 2 4 12 2" xfId="269"/>
    <cellStyle name="Normal 2 4 12 3" xfId="270"/>
    <cellStyle name="Normal 2 4 13" xfId="271"/>
    <cellStyle name="Normal 2 4 13 2" xfId="272"/>
    <cellStyle name="Normal 2 4 13 3" xfId="273"/>
    <cellStyle name="Normal 2 4 2" xfId="274"/>
    <cellStyle name="Normal 2 4 2 2" xfId="275"/>
    <cellStyle name="Normal 2 4 2 2 2" xfId="276"/>
    <cellStyle name="Normal 2 4 2 2 3" xfId="277"/>
    <cellStyle name="Normal 2 4 2 3" xfId="278"/>
    <cellStyle name="Normal 2 4 2 4" xfId="279"/>
    <cellStyle name="Normal 2 4 2 5" xfId="280"/>
    <cellStyle name="Normal 2 4 3" xfId="281"/>
    <cellStyle name="Normal 2 4 3 2" xfId="282"/>
    <cellStyle name="Normal 2 4 3 3" xfId="283"/>
    <cellStyle name="Normal 2 4 4" xfId="284"/>
    <cellStyle name="Normal 2 4 5" xfId="285"/>
    <cellStyle name="Normal 2 4 6" xfId="286"/>
    <cellStyle name="Normal 2 4 7" xfId="287"/>
    <cellStyle name="Normal 2 4 8" xfId="288"/>
    <cellStyle name="Normal 2 4 9" xfId="289"/>
    <cellStyle name="Normal 2 5" xfId="290"/>
    <cellStyle name="Normal 2 5 10" xfId="291"/>
    <cellStyle name="Normal 2 5 11" xfId="292"/>
    <cellStyle name="Normal 2 5 12" xfId="293"/>
    <cellStyle name="Normal 2 5 12 2" xfId="294"/>
    <cellStyle name="Normal 2 5 12 3"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11" xfId="322"/>
    <cellStyle name="Normal 2 7 2" xfId="323"/>
    <cellStyle name="Normal 2 7 2 2" xfId="324"/>
    <cellStyle name="Normal 2 7 2 3" xfId="325"/>
    <cellStyle name="Normal 2 7 3" xfId="326"/>
    <cellStyle name="Normal 2 7 3 2" xfId="327"/>
    <cellStyle name="Normal 2 7 4" xfId="328"/>
    <cellStyle name="Normal 2 7 4 2" xfId="329"/>
    <cellStyle name="Normal 2 7 5" xfId="330"/>
    <cellStyle name="Normal 2 7 5 2" xfId="331"/>
    <cellStyle name="Normal 2 7 6" xfId="332"/>
    <cellStyle name="Normal 2 7 6 2" xfId="333"/>
    <cellStyle name="Normal 2 7 7" xfId="334"/>
    <cellStyle name="Normal 2 7 7 2" xfId="335"/>
    <cellStyle name="Normal 2 7 8" xfId="336"/>
    <cellStyle name="Normal 2 7 8 2" xfId="337"/>
    <cellStyle name="Normal 2 7 9" xfId="338"/>
    <cellStyle name="Normal 2 8" xfId="339"/>
    <cellStyle name="Normal 2 8 10" xfId="340"/>
    <cellStyle name="Normal 2 8 11" xfId="341"/>
    <cellStyle name="Normal 2 8 2" xfId="342"/>
    <cellStyle name="Normal 2 8 2 2" xfId="343"/>
    <cellStyle name="Normal 2 8 3" xfId="344"/>
    <cellStyle name="Normal 2 8 3 2" xfId="345"/>
    <cellStyle name="Normal 2 8 4" xfId="346"/>
    <cellStyle name="Normal 2 8 4 2" xfId="347"/>
    <cellStyle name="Normal 2 8 5" xfId="348"/>
    <cellStyle name="Normal 2 8 5 2" xfId="349"/>
    <cellStyle name="Normal 2 8 6" xfId="350"/>
    <cellStyle name="Normal 2 8 6 2" xfId="351"/>
    <cellStyle name="Normal 2 8 7" xfId="352"/>
    <cellStyle name="Normal 2 8 7 2" xfId="353"/>
    <cellStyle name="Normal 2 8 8" xfId="354"/>
    <cellStyle name="Normal 2 8 8 2" xfId="355"/>
    <cellStyle name="Normal 2 8 9" xfId="356"/>
    <cellStyle name="Normal 2 9" xfId="357"/>
    <cellStyle name="Normal 2 9 10" xfId="358"/>
    <cellStyle name="Normal 2 9 11" xfId="359"/>
    <cellStyle name="Normal 2 9 2" xfId="360"/>
    <cellStyle name="Normal 2 9 2 2" xfId="361"/>
    <cellStyle name="Normal 2 9 3" xfId="362"/>
    <cellStyle name="Normal 2 9 3 2" xfId="363"/>
    <cellStyle name="Normal 2 9 4" xfId="364"/>
    <cellStyle name="Normal 2 9 4 2" xfId="365"/>
    <cellStyle name="Normal 2 9 5" xfId="366"/>
    <cellStyle name="Normal 2 9 5 2" xfId="367"/>
    <cellStyle name="Normal 2 9 6" xfId="368"/>
    <cellStyle name="Normal 2 9 6 2" xfId="369"/>
    <cellStyle name="Normal 2 9 7" xfId="370"/>
    <cellStyle name="Normal 2 9 7 2" xfId="371"/>
    <cellStyle name="Normal 2 9 8" xfId="372"/>
    <cellStyle name="Normal 2 9 8 2" xfId="373"/>
    <cellStyle name="Normal 2 9 9" xfId="374"/>
    <cellStyle name="Normal 20" xfId="375"/>
    <cellStyle name="Normal 20 2" xfId="376"/>
    <cellStyle name="Normal 20 3" xfId="377"/>
    <cellStyle name="Normal 21" xfId="378"/>
    <cellStyle name="Normal 21 2" xfId="379"/>
    <cellStyle name="Normal 21 2 2" xfId="380"/>
    <cellStyle name="Normal 21 2 3" xfId="381"/>
    <cellStyle name="Normal 21 3" xfId="382"/>
    <cellStyle name="Normal 21 4" xfId="383"/>
    <cellStyle name="Normal 21 5" xfId="384"/>
    <cellStyle name="Normal 22" xfId="385"/>
    <cellStyle name="Normal 22 2" xfId="386"/>
    <cellStyle name="Normal 22 3" xfId="387"/>
    <cellStyle name="Normal 23" xfId="388"/>
    <cellStyle name="Normal 23 2" xfId="389"/>
    <cellStyle name="Normal 23 3" xfId="390"/>
    <cellStyle name="Normal 24" xfId="391"/>
    <cellStyle name="Normal 24 2" xfId="392"/>
    <cellStyle name="Normal 24 3" xfId="393"/>
    <cellStyle name="Normal 25" xfId="394"/>
    <cellStyle name="Normal 25 2" xfId="395"/>
    <cellStyle name="Normal 25 3" xfId="396"/>
    <cellStyle name="Normal 26" xfId="397"/>
    <cellStyle name="Normal 27" xfId="398"/>
    <cellStyle name="Normal 27 2" xfId="399"/>
    <cellStyle name="Normal 3" xfId="400"/>
    <cellStyle name="Normal 3 10" xfId="401"/>
    <cellStyle name="Normal 3 10 2" xfId="402"/>
    <cellStyle name="Normal 3 11" xfId="403"/>
    <cellStyle name="Normal 3 12" xfId="404"/>
    <cellStyle name="Normal 3 13" xfId="405"/>
    <cellStyle name="Normal 3 14" xfId="406"/>
    <cellStyle name="Normal 3 15" xfId="407"/>
    <cellStyle name="Normal 3 2" xfId="408"/>
    <cellStyle name="Normal 3 2 2" xfId="409"/>
    <cellStyle name="Normal 3 2 2 2" xfId="410"/>
    <cellStyle name="Normal 3 2 2 3" xfId="411"/>
    <cellStyle name="Normal 3 2 3" xfId="412"/>
    <cellStyle name="Normal 3 2 4" xfId="413"/>
    <cellStyle name="Normal 3 2 5" xfId="414"/>
    <cellStyle name="Normal 3 3" xfId="415"/>
    <cellStyle name="Normal 3 3 2" xfId="416"/>
    <cellStyle name="Normal 3 3 2 2" xfId="417"/>
    <cellStyle name="Normal 3 3 2 3" xfId="418"/>
    <cellStyle name="Normal 3 3 3" xfId="419"/>
    <cellStyle name="Normal 3 3 4" xfId="420"/>
    <cellStyle name="Normal 3 4" xfId="421"/>
    <cellStyle name="Normal 3 5" xfId="422"/>
    <cellStyle name="Normal 3 6" xfId="423"/>
    <cellStyle name="Normal 3 7" xfId="424"/>
    <cellStyle name="Normal 3 7 2" xfId="425"/>
    <cellStyle name="Normal 3 7 3" xfId="426"/>
    <cellStyle name="Normal 3 8" xfId="427"/>
    <cellStyle name="Normal 3 8 2" xfId="428"/>
    <cellStyle name="Normal 3 8 3" xfId="429"/>
    <cellStyle name="Normal 3 9" xfId="430"/>
    <cellStyle name="Normal 3 9 2" xfId="431"/>
    <cellStyle name="Normal 3 9 3" xfId="432"/>
    <cellStyle name="Normal 4" xfId="433"/>
    <cellStyle name="Normal 4 10" xfId="434"/>
    <cellStyle name="Normal 4 11" xfId="435"/>
    <cellStyle name="Normal 4 12" xfId="436"/>
    <cellStyle name="Normal 4 13" xfId="437"/>
    <cellStyle name="Normal 4 2" xfId="438"/>
    <cellStyle name="Normal 4 2 2" xfId="439"/>
    <cellStyle name="Normal 4 2 2 2" xfId="440"/>
    <cellStyle name="Normal 4 2 2 3" xfId="441"/>
    <cellStyle name="Normal 4 2 2 3 2" xfId="442"/>
    <cellStyle name="Normal 4 2 3" xfId="443"/>
    <cellStyle name="Normal 4 2 4" xfId="444"/>
    <cellStyle name="Normal 4 2 5" xfId="445"/>
    <cellStyle name="Normal 4 3" xfId="446"/>
    <cellStyle name="Normal 4 3 2" xfId="447"/>
    <cellStyle name="Normal 4 3 3" xfId="448"/>
    <cellStyle name="Normal 4 4" xfId="449"/>
    <cellStyle name="Normal 4 5" xfId="450"/>
    <cellStyle name="Normal 4 5 2" xfId="451"/>
    <cellStyle name="Normal 4 5 3" xfId="452"/>
    <cellStyle name="Normal 4 6" xfId="453"/>
    <cellStyle name="Normal 4 6 2" xfId="454"/>
    <cellStyle name="Normal 4 6 3" xfId="455"/>
    <cellStyle name="Normal 4 7" xfId="456"/>
    <cellStyle name="Normal 4 8" xfId="457"/>
    <cellStyle name="Normal 4 9" xfId="458"/>
    <cellStyle name="Normal 5" xfId="459"/>
    <cellStyle name="Normal 5 2" xfId="460"/>
    <cellStyle name="Normal 5 3" xfId="461"/>
    <cellStyle name="Normal 5 3 2" xfId="462"/>
    <cellStyle name="Normal 5 3 3" xfId="463"/>
    <cellStyle name="Normal 5 4" xfId="464"/>
    <cellStyle name="Normal 5 5" xfId="465"/>
    <cellStyle name="Normal 5 5 2" xfId="466"/>
    <cellStyle name="Normal 5 5 3" xfId="467"/>
    <cellStyle name="Normal 5 6" xfId="468"/>
    <cellStyle name="Normal 5 7" xfId="511"/>
    <cellStyle name="Normal 6" xfId="469"/>
    <cellStyle name="Normal 6 2" xfId="470"/>
    <cellStyle name="Normal 6 3" xfId="471"/>
    <cellStyle name="Normal 6 4" xfId="472"/>
    <cellStyle name="Normal 6 5" xfId="473"/>
    <cellStyle name="Normal 7 2" xfId="474"/>
    <cellStyle name="Normal 7 2 2" xfId="475"/>
    <cellStyle name="Normal 7 2 2 2" xfId="476"/>
    <cellStyle name="Normal 7 2 2 3" xfId="477"/>
    <cellStyle name="Normal 7 2 3" xfId="478"/>
    <cellStyle name="Normal 7 2 4" xfId="479"/>
    <cellStyle name="Normal 7 2 4 2" xfId="480"/>
    <cellStyle name="Normal 7 2 4 3" xfId="481"/>
    <cellStyle name="Normal 7 2 5" xfId="482"/>
    <cellStyle name="Normal 7 3" xfId="483"/>
    <cellStyle name="Normal 7 4" xfId="484"/>
    <cellStyle name="Normal 7 4 2" xfId="485"/>
    <cellStyle name="Normal 7 4 3" xfId="486"/>
    <cellStyle name="Normal 7 5" xfId="487"/>
    <cellStyle name="Normal 7 5 2" xfId="488"/>
    <cellStyle name="Normal 7 5 3" xfId="489"/>
    <cellStyle name="Normal 7 5 4" xfId="490"/>
    <cellStyle name="Normal 7 5 5" xfId="491"/>
    <cellStyle name="Normal 7 6" xfId="492"/>
    <cellStyle name="Normal 7 7" xfId="493"/>
    <cellStyle name="Normal 8" xfId="494"/>
    <cellStyle name="Normal 8 2" xfId="495"/>
    <cellStyle name="Normal 8 3" xfId="496"/>
    <cellStyle name="Normal 9" xfId="497"/>
    <cellStyle name="Normal 9 2" xfId="498"/>
    <cellStyle name="Normal 9 2 2" xfId="499"/>
    <cellStyle name="Normal 9 2 3" xfId="500"/>
    <cellStyle name="Normal 9 3" xfId="501"/>
    <cellStyle name="Normal 9 4" xfId="502"/>
    <cellStyle name="Normal 9 5" xfId="503"/>
    <cellStyle name="Normal 9 5 2" xfId="504"/>
    <cellStyle name="Normal 9 5 3" xfId="505"/>
    <cellStyle name="Normal 9 6" xfId="506"/>
    <cellStyle name="Normal 9 6 2" xfId="507"/>
    <cellStyle name="Normal 9 6 3" xfId="508"/>
    <cellStyle name="Normal_debt" xfId="509"/>
    <cellStyle name="Normal_lpform" xfId="510"/>
  </cellStyles>
  <dxfs count="152">
    <dxf>
      <font>
        <b/>
        <i val="0"/>
        <strike val="0"/>
      </font>
      <fill>
        <patternFill>
          <bgColor rgb="FFFF0000"/>
        </patternFill>
      </fill>
    </dxf>
    <dxf>
      <font>
        <b/>
        <i val="0"/>
        <strike val="0"/>
      </font>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EAE56B21-900F-4766-8864-9A97027D8D38}"/>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1EBCA960-829E-4247-9E57-A5E3E430C78D}"/>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14955E3A-2BA4-4221-9143-620188A0E5B6}"/>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C06EDA11-DD7D-43DE-A692-ED1D253F65A8}"/>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00F947A7-2C2C-45D5-A36A-1CCD0F40A7D6}"/>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00D3E25C-39C9-4C14-9472-F201D464DDDC}"/>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F092D9D6-C660-4551-8951-D61A3C5AD351}"/>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8C937E06-2507-4B4E-A291-753076CAB341}"/>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6EB33ADD-9CEA-4EA9-A566-46C3398F6773}"/>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E75D05E8-0414-4879-80B7-626540B6FDA7}"/>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BB82EF6B-ABD1-4221-B1B6-9FE7CD8D13FC}"/>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00D34B70-7CA6-48D3-A166-B0AF9C355F25}"/>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B18AD0B2-5201-4349-A732-23811032E586}"/>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kansas-my.sharepoint.com/personal/stacy_jaramillo_doa_ks_gov/Documents/Desktop/City%20workbooks/Cit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PrYr"/>
      <sheetName val="inputOth"/>
      <sheetName val="inputHearing"/>
      <sheetName val="CPA Summary"/>
      <sheetName val="Cert"/>
      <sheetName val="Mvalloc"/>
      <sheetName val="Transfers"/>
      <sheetName val="Transfer Statutes"/>
      <sheetName val="Debt"/>
      <sheetName val="LP Form"/>
      <sheetName val="Library Grant"/>
      <sheetName val="General"/>
      <sheetName val="General Detail"/>
      <sheetName val="DebtSvs-Library"/>
      <sheetName val="Levy Page 9"/>
      <sheetName val="Levy Page 10"/>
      <sheetName val="Spec Hwy"/>
      <sheetName val="No Levy Page 12"/>
      <sheetName val="No Levy Page 13"/>
      <sheetName val="Single No Levy Page 14"/>
      <sheetName val="Non-Budgeted Funds"/>
      <sheetName val="Non-Bud Fund Statutes"/>
      <sheetName val="Budget Hearing Notice"/>
      <sheetName val="Combined Rate-Bud Hearing Notic"/>
      <sheetName val="RNR Hearing Notice"/>
      <sheetName val="NR Rebate"/>
      <sheetName val="SAMPLE Notice to County Clerk"/>
      <sheetName val="SAMPLE Roll Call to Exceed RNR"/>
      <sheetName val="SAMPLE Resolution to Exceed RNR"/>
      <sheetName val="Tab A"/>
      <sheetName val="Tab B"/>
      <sheetName val="Tab C"/>
      <sheetName val="Tab D"/>
      <sheetName val="Tab E"/>
      <sheetName val="Budget Tools"/>
      <sheetName val="Legend"/>
    </sheetNames>
    <sheetDataSet>
      <sheetData sheetId="0"/>
      <sheetData sheetId="1">
        <row r="6">
          <cell r="C6">
            <v>2024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8.bin"/><Relationship Id="rId1" Type="http://schemas.openxmlformats.org/officeDocument/2006/relationships/hyperlink" Target="https://pooledmoneyinvestmentboard.com/"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B109"/>
  <sheetViews>
    <sheetView zoomScaleNormal="100" workbookViewId="0">
      <selection activeCell="C1" sqref="C1"/>
    </sheetView>
  </sheetViews>
  <sheetFormatPr defaultColWidth="8.88671875" defaultRowHeight="15.75" x14ac:dyDescent="0.2"/>
  <cols>
    <col min="1" max="1" width="1.21875" style="24" customWidth="1"/>
    <col min="2" max="2" width="84.6640625" style="25" customWidth="1"/>
    <col min="3" max="16384" width="8.88671875" style="24"/>
  </cols>
  <sheetData>
    <row r="1" spans="2:2" ht="39" customHeight="1" x14ac:dyDescent="0.2">
      <c r="B1" s="545" t="s">
        <v>571</v>
      </c>
    </row>
    <row r="2" spans="2:2" ht="12.95" customHeight="1" x14ac:dyDescent="0.2"/>
    <row r="3" spans="2:2" ht="34.5" customHeight="1" x14ac:dyDescent="0.2">
      <c r="B3" s="25" t="s">
        <v>551</v>
      </c>
    </row>
    <row r="4" spans="2:2" ht="12.95" customHeight="1" x14ac:dyDescent="0.2"/>
    <row r="5" spans="2:2" ht="66" customHeight="1" x14ac:dyDescent="0.2">
      <c r="B5" s="25" t="s">
        <v>572</v>
      </c>
    </row>
    <row r="6" spans="2:2" ht="14.45" customHeight="1" x14ac:dyDescent="0.2"/>
    <row r="7" spans="2:2" ht="25.5" customHeight="1" x14ac:dyDescent="0.2">
      <c r="B7" s="546" t="s">
        <v>573</v>
      </c>
    </row>
    <row r="8" spans="2:2" ht="12.95" customHeight="1" x14ac:dyDescent="0.2"/>
    <row r="9" spans="2:2" ht="50.25" x14ac:dyDescent="0.2">
      <c r="B9" s="25" t="s">
        <v>574</v>
      </c>
    </row>
    <row r="10" spans="2:2" ht="12.95" customHeight="1" x14ac:dyDescent="0.2"/>
    <row r="11" spans="2:2" ht="31.5" x14ac:dyDescent="0.2">
      <c r="B11" s="25" t="s">
        <v>575</v>
      </c>
    </row>
    <row r="12" spans="2:2" ht="15" customHeight="1" x14ac:dyDescent="0.2"/>
    <row r="13" spans="2:2" ht="25.5" customHeight="1" x14ac:dyDescent="0.2">
      <c r="B13" s="546" t="s">
        <v>576</v>
      </c>
    </row>
    <row r="14" spans="2:2" ht="12.95" customHeight="1" x14ac:dyDescent="0.2"/>
    <row r="15" spans="2:2" ht="39.75" customHeight="1" x14ac:dyDescent="0.2">
      <c r="B15" s="25" t="s">
        <v>577</v>
      </c>
    </row>
    <row r="16" spans="2:2" ht="12.95" customHeight="1" x14ac:dyDescent="0.2"/>
    <row r="17" spans="2:2" x14ac:dyDescent="0.2">
      <c r="B17" s="547" t="s">
        <v>578</v>
      </c>
    </row>
    <row r="18" spans="2:2" ht="12.95" customHeight="1" x14ac:dyDescent="0.2">
      <c r="B18" s="547"/>
    </row>
    <row r="19" spans="2:2" x14ac:dyDescent="0.2">
      <c r="B19" s="25" t="s">
        <v>579</v>
      </c>
    </row>
    <row r="20" spans="2:2" ht="12.95" customHeight="1" x14ac:dyDescent="0.2"/>
    <row r="21" spans="2:2" ht="67.5" customHeight="1" x14ac:dyDescent="0.2">
      <c r="B21" s="25" t="s">
        <v>580</v>
      </c>
    </row>
    <row r="22" spans="2:2" ht="12.95" customHeight="1" x14ac:dyDescent="0.2">
      <c r="B22" s="548"/>
    </row>
    <row r="23" spans="2:2" ht="15.75" customHeight="1" x14ac:dyDescent="0.2">
      <c r="B23" s="25" t="s">
        <v>581</v>
      </c>
    </row>
    <row r="24" spans="2:2" ht="12.95" customHeight="1" x14ac:dyDescent="0.2">
      <c r="B24" s="548"/>
    </row>
    <row r="25" spans="2:2" ht="15.75" customHeight="1" x14ac:dyDescent="0.2">
      <c r="B25" s="25" t="s">
        <v>582</v>
      </c>
    </row>
    <row r="26" spans="2:2" ht="12.95" customHeight="1" x14ac:dyDescent="0.2"/>
    <row r="27" spans="2:2" ht="49.5" customHeight="1" x14ac:dyDescent="0.2">
      <c r="B27" s="25" t="s">
        <v>583</v>
      </c>
    </row>
    <row r="28" spans="2:2" ht="12.95" customHeight="1" x14ac:dyDescent="0.2"/>
    <row r="29" spans="2:2" ht="25.5" customHeight="1" x14ac:dyDescent="0.2">
      <c r="B29" s="546" t="s">
        <v>584</v>
      </c>
    </row>
    <row r="30" spans="2:2" ht="12.95" customHeight="1" x14ac:dyDescent="0.2">
      <c r="B30" s="549"/>
    </row>
    <row r="31" spans="2:2" ht="50.25" customHeight="1" x14ac:dyDescent="0.2">
      <c r="B31" s="25" t="s">
        <v>585</v>
      </c>
    </row>
    <row r="32" spans="2:2" ht="12.95" customHeight="1" x14ac:dyDescent="0.2"/>
    <row r="33" spans="2:2" ht="49.5" customHeight="1" x14ac:dyDescent="0.2">
      <c r="B33" s="303" t="s">
        <v>586</v>
      </c>
    </row>
    <row r="34" spans="2:2" ht="39.75" customHeight="1" x14ac:dyDescent="0.2">
      <c r="B34" s="550" t="s">
        <v>587</v>
      </c>
    </row>
    <row r="35" spans="2:2" ht="60.75" customHeight="1" x14ac:dyDescent="0.2">
      <c r="B35" s="550" t="s">
        <v>588</v>
      </c>
    </row>
    <row r="36" spans="2:2" ht="61.5" customHeight="1" x14ac:dyDescent="0.2">
      <c r="B36" s="550" t="s">
        <v>589</v>
      </c>
    </row>
    <row r="37" spans="2:2" ht="41.25" customHeight="1" x14ac:dyDescent="0.2">
      <c r="B37" s="550" t="s">
        <v>590</v>
      </c>
    </row>
    <row r="38" spans="2:2" ht="12.95" customHeight="1" x14ac:dyDescent="0.2"/>
    <row r="39" spans="2:2" ht="52.5" customHeight="1" x14ac:dyDescent="0.2">
      <c r="B39" s="303" t="s">
        <v>591</v>
      </c>
    </row>
    <row r="40" spans="2:2" ht="27.75" customHeight="1" x14ac:dyDescent="0.2">
      <c r="B40" s="550" t="s">
        <v>592</v>
      </c>
    </row>
    <row r="41" spans="2:2" ht="57" customHeight="1" x14ac:dyDescent="0.2">
      <c r="B41" s="550" t="s">
        <v>593</v>
      </c>
    </row>
    <row r="42" spans="2:2" ht="105" customHeight="1" x14ac:dyDescent="0.2">
      <c r="B42" s="550" t="s">
        <v>594</v>
      </c>
    </row>
    <row r="43" spans="2:2" s="25" customFormat="1" ht="12.95" customHeight="1" x14ac:dyDescent="0.2"/>
    <row r="44" spans="2:2" ht="47.25" x14ac:dyDescent="0.2">
      <c r="B44" s="303" t="s">
        <v>595</v>
      </c>
    </row>
    <row r="45" spans="2:2" ht="66.75" customHeight="1" x14ac:dyDescent="0.2">
      <c r="B45" s="303" t="s">
        <v>596</v>
      </c>
    </row>
    <row r="46" spans="2:2" ht="72.75" customHeight="1" x14ac:dyDescent="0.2">
      <c r="B46" s="550" t="s">
        <v>597</v>
      </c>
    </row>
    <row r="47" spans="2:2" ht="108" customHeight="1" x14ac:dyDescent="0.2">
      <c r="B47" s="550" t="s">
        <v>598</v>
      </c>
    </row>
    <row r="48" spans="2:2" ht="95.25" customHeight="1" x14ac:dyDescent="0.2">
      <c r="B48" s="550" t="s">
        <v>599</v>
      </c>
    </row>
    <row r="49" spans="2:2" ht="12.95" customHeight="1" x14ac:dyDescent="0.2"/>
    <row r="50" spans="2:2" ht="47.25" x14ac:dyDescent="0.2">
      <c r="B50" s="303" t="s">
        <v>600</v>
      </c>
    </row>
    <row r="51" spans="2:2" ht="38.25" customHeight="1" x14ac:dyDescent="0.2">
      <c r="B51" s="550" t="s">
        <v>601</v>
      </c>
    </row>
    <row r="52" spans="2:2" ht="34.5" customHeight="1" x14ac:dyDescent="0.2">
      <c r="B52" s="550" t="s">
        <v>602</v>
      </c>
    </row>
    <row r="53" spans="2:2" ht="12.95" customHeight="1" x14ac:dyDescent="0.2"/>
    <row r="54" spans="2:2" ht="71.25" customHeight="1" x14ac:dyDescent="0.2">
      <c r="B54" s="303" t="s">
        <v>603</v>
      </c>
    </row>
    <row r="55" spans="2:2" ht="21.75" customHeight="1" x14ac:dyDescent="0.2">
      <c r="B55" s="550" t="s">
        <v>604</v>
      </c>
    </row>
    <row r="56" spans="2:2" ht="12.95" customHeight="1" x14ac:dyDescent="0.2">
      <c r="B56" s="551"/>
    </row>
    <row r="57" spans="2:2" ht="57.75" customHeight="1" x14ac:dyDescent="0.2">
      <c r="B57" s="303" t="s">
        <v>605</v>
      </c>
    </row>
    <row r="58" spans="2:2" ht="41.25" customHeight="1" x14ac:dyDescent="0.2">
      <c r="B58" s="550" t="s">
        <v>606</v>
      </c>
    </row>
    <row r="59" spans="2:2" ht="72" customHeight="1" x14ac:dyDescent="0.2">
      <c r="B59" s="550" t="s">
        <v>607</v>
      </c>
    </row>
    <row r="60" spans="2:2" ht="27" customHeight="1" x14ac:dyDescent="0.2">
      <c r="B60" s="550" t="s">
        <v>608</v>
      </c>
    </row>
    <row r="61" spans="2:2" ht="44.25" customHeight="1" x14ac:dyDescent="0.2">
      <c r="B61" s="550" t="s">
        <v>609</v>
      </c>
    </row>
    <row r="62" spans="2:2" ht="12.95" customHeight="1" x14ac:dyDescent="0.2"/>
    <row r="63" spans="2:2" ht="38.25" customHeight="1" x14ac:dyDescent="0.2">
      <c r="B63" s="303" t="s">
        <v>610</v>
      </c>
    </row>
    <row r="64" spans="2:2" s="552" customFormat="1" ht="30.75" customHeight="1" x14ac:dyDescent="0.2">
      <c r="B64" s="550" t="s">
        <v>611</v>
      </c>
    </row>
    <row r="65" spans="2:2" ht="12.95" customHeight="1" x14ac:dyDescent="0.2"/>
    <row r="66" spans="2:2" ht="52.5" customHeight="1" x14ac:dyDescent="0.2">
      <c r="B66" s="303" t="s">
        <v>612</v>
      </c>
    </row>
    <row r="67" spans="2:2" s="552" customFormat="1" ht="39.75" customHeight="1" x14ac:dyDescent="0.2">
      <c r="B67" s="550" t="s">
        <v>613</v>
      </c>
    </row>
    <row r="68" spans="2:2" ht="12.95" customHeight="1" x14ac:dyDescent="0.2"/>
    <row r="69" spans="2:2" ht="68.25" customHeight="1" x14ac:dyDescent="0.2">
      <c r="B69" s="303" t="s">
        <v>614</v>
      </c>
    </row>
    <row r="70" spans="2:2" ht="57" customHeight="1" x14ac:dyDescent="0.2">
      <c r="B70" s="550" t="s">
        <v>615</v>
      </c>
    </row>
    <row r="71" spans="2:2" ht="44.25" customHeight="1" x14ac:dyDescent="0.2">
      <c r="B71" s="550" t="s">
        <v>616</v>
      </c>
    </row>
    <row r="72" spans="2:2" ht="12.95" customHeight="1" x14ac:dyDescent="0.2"/>
    <row r="73" spans="2:2" ht="78.75" x14ac:dyDescent="0.2">
      <c r="B73" s="303" t="s">
        <v>617</v>
      </c>
    </row>
    <row r="74" spans="2:2" ht="72.75" customHeight="1" x14ac:dyDescent="0.2">
      <c r="B74" s="550" t="s">
        <v>618</v>
      </c>
    </row>
    <row r="75" spans="2:2" ht="90" customHeight="1" x14ac:dyDescent="0.2">
      <c r="B75" s="550" t="s">
        <v>619</v>
      </c>
    </row>
    <row r="76" spans="2:2" ht="70.5" customHeight="1" x14ac:dyDescent="0.2">
      <c r="B76" s="550" t="s">
        <v>620</v>
      </c>
    </row>
    <row r="77" spans="2:2" ht="87" customHeight="1" x14ac:dyDescent="0.2">
      <c r="B77" s="550" t="s">
        <v>621</v>
      </c>
    </row>
    <row r="78" spans="2:2" ht="110.25" x14ac:dyDescent="0.2">
      <c r="B78" s="550" t="s">
        <v>622</v>
      </c>
    </row>
    <row r="79" spans="2:2" ht="55.5" customHeight="1" x14ac:dyDescent="0.2">
      <c r="B79" s="550" t="s">
        <v>623</v>
      </c>
    </row>
    <row r="80" spans="2:2" ht="96.75" customHeight="1" x14ac:dyDescent="0.2">
      <c r="B80" s="550" t="s">
        <v>624</v>
      </c>
    </row>
    <row r="81" spans="2:2" ht="111.75" customHeight="1" x14ac:dyDescent="0.2">
      <c r="B81" s="550" t="s">
        <v>625</v>
      </c>
    </row>
    <row r="82" spans="2:2" ht="123.75" customHeight="1" x14ac:dyDescent="0.2">
      <c r="B82" s="550" t="s">
        <v>626</v>
      </c>
    </row>
    <row r="83" spans="2:2" ht="26.25" customHeight="1" x14ac:dyDescent="0.2">
      <c r="B83" s="550" t="s">
        <v>627</v>
      </c>
    </row>
    <row r="84" spans="2:2" ht="57.75" customHeight="1" x14ac:dyDescent="0.2">
      <c r="B84" s="550" t="s">
        <v>628</v>
      </c>
    </row>
    <row r="85" spans="2:2" ht="57.75" customHeight="1" x14ac:dyDescent="0.2">
      <c r="B85" s="550" t="s">
        <v>629</v>
      </c>
    </row>
    <row r="86" spans="2:2" ht="91.5" customHeight="1" x14ac:dyDescent="0.2">
      <c r="B86" s="550" t="s">
        <v>630</v>
      </c>
    </row>
    <row r="87" spans="2:2" ht="75" customHeight="1" x14ac:dyDescent="0.2">
      <c r="B87" s="550" t="s">
        <v>631</v>
      </c>
    </row>
    <row r="88" spans="2:2" ht="69" customHeight="1" x14ac:dyDescent="0.2">
      <c r="B88" s="550" t="s">
        <v>632</v>
      </c>
    </row>
    <row r="89" spans="2:2" ht="39" customHeight="1" x14ac:dyDescent="0.2">
      <c r="B89" s="550" t="s">
        <v>633</v>
      </c>
    </row>
    <row r="90" spans="2:2" ht="12.95" customHeight="1" x14ac:dyDescent="0.2"/>
    <row r="91" spans="2:2" ht="63" x14ac:dyDescent="0.2">
      <c r="B91" s="303" t="s">
        <v>634</v>
      </c>
    </row>
    <row r="92" spans="2:2" ht="75.75" customHeight="1" x14ac:dyDescent="0.2">
      <c r="B92" s="550" t="s">
        <v>635</v>
      </c>
    </row>
    <row r="93" spans="2:2" ht="23.25" customHeight="1" x14ac:dyDescent="0.2">
      <c r="B93" s="550" t="s">
        <v>636</v>
      </c>
    </row>
    <row r="94" spans="2:2" ht="27" customHeight="1" x14ac:dyDescent="0.2">
      <c r="B94" s="550" t="s">
        <v>637</v>
      </c>
    </row>
    <row r="95" spans="2:2" ht="42" customHeight="1" x14ac:dyDescent="0.2">
      <c r="B95" s="553" t="s">
        <v>638</v>
      </c>
    </row>
    <row r="96" spans="2:2" ht="108" customHeight="1" x14ac:dyDescent="0.2">
      <c r="B96" s="553" t="s">
        <v>639</v>
      </c>
    </row>
    <row r="97" spans="2:2" ht="88.5" customHeight="1" x14ac:dyDescent="0.2">
      <c r="B97" s="553" t="s">
        <v>640</v>
      </c>
    </row>
    <row r="98" spans="2:2" ht="98.25" customHeight="1" x14ac:dyDescent="0.2">
      <c r="B98" s="550" t="s">
        <v>641</v>
      </c>
    </row>
    <row r="99" spans="2:2" ht="68.25" customHeight="1" x14ac:dyDescent="0.2">
      <c r="B99" s="550" t="s">
        <v>642</v>
      </c>
    </row>
    <row r="100" spans="2:2" ht="12.95" customHeight="1" x14ac:dyDescent="0.2"/>
    <row r="101" spans="2:2" ht="94.5" x14ac:dyDescent="0.2">
      <c r="B101" s="303" t="s">
        <v>643</v>
      </c>
    </row>
    <row r="102" spans="2:2" ht="78.75" x14ac:dyDescent="0.2">
      <c r="B102" s="554" t="s">
        <v>644</v>
      </c>
    </row>
    <row r="103" spans="2:2" ht="63" x14ac:dyDescent="0.2">
      <c r="B103" s="550" t="s">
        <v>645</v>
      </c>
    </row>
    <row r="104" spans="2:2" ht="39.75" customHeight="1" x14ac:dyDescent="0.2">
      <c r="B104" s="550" t="s">
        <v>646</v>
      </c>
    </row>
    <row r="105" spans="2:2" ht="12.95" customHeight="1" x14ac:dyDescent="0.2">
      <c r="B105" s="24"/>
    </row>
    <row r="106" spans="2:2" ht="47.25" x14ac:dyDescent="0.2">
      <c r="B106" s="303" t="s">
        <v>647</v>
      </c>
    </row>
    <row r="107" spans="2:2" ht="12.95" customHeight="1" x14ac:dyDescent="0.2">
      <c r="B107" s="24"/>
    </row>
    <row r="108" spans="2:2" ht="47.25" x14ac:dyDescent="0.2">
      <c r="B108" s="303" t="s">
        <v>648</v>
      </c>
    </row>
    <row r="109" spans="2:2" x14ac:dyDescent="0.2">
      <c r="B109" s="24"/>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C48"/>
  <sheetViews>
    <sheetView zoomScale="75" workbookViewId="0">
      <selection activeCell="B17" sqref="B17"/>
    </sheetView>
  </sheetViews>
  <sheetFormatPr defaultColWidth="8.88671875" defaultRowHeight="15.75" x14ac:dyDescent="0.2"/>
  <cols>
    <col min="1" max="1" width="4.77734375" style="26" customWidth="1"/>
    <col min="2" max="2" width="20.77734375" style="26" customWidth="1"/>
    <col min="3" max="3" width="9.33203125" style="26" customWidth="1"/>
    <col min="4" max="4" width="8.6640625" style="26" customWidth="1"/>
    <col min="5" max="5" width="8.77734375" style="26" customWidth="1"/>
    <col min="6" max="6" width="12.77734375" style="26" customWidth="1"/>
    <col min="7" max="7" width="14.33203125" style="26" customWidth="1"/>
    <col min="8" max="13" width="9.77734375" style="26" customWidth="1"/>
    <col min="14" max="16384" width="8.88671875" style="26"/>
  </cols>
  <sheetData>
    <row r="1" spans="2:13" x14ac:dyDescent="0.2">
      <c r="B1" s="47" t="str">
        <f>inputPrYr!$D$3</f>
        <v>Wellsville</v>
      </c>
      <c r="C1" s="28"/>
      <c r="D1" s="28"/>
      <c r="E1" s="28"/>
      <c r="F1" s="28"/>
      <c r="G1" s="28"/>
      <c r="H1" s="28"/>
      <c r="I1" s="28"/>
      <c r="J1" s="28"/>
      <c r="K1" s="28"/>
      <c r="L1" s="28"/>
      <c r="M1" s="133">
        <f>inputPrYr!$C$6</f>
        <v>2024</v>
      </c>
    </row>
    <row r="2" spans="2:13" x14ac:dyDescent="0.2">
      <c r="B2" s="47"/>
      <c r="C2" s="28"/>
      <c r="D2" s="28"/>
      <c r="E2" s="28"/>
      <c r="F2" s="28"/>
      <c r="G2" s="28"/>
      <c r="H2" s="28"/>
      <c r="I2" s="28"/>
      <c r="J2" s="28"/>
      <c r="K2" s="28"/>
      <c r="L2" s="28"/>
      <c r="M2" s="107"/>
    </row>
    <row r="3" spans="2:13" x14ac:dyDescent="0.2">
      <c r="B3" s="134" t="s">
        <v>125</v>
      </c>
      <c r="C3" s="33"/>
      <c r="D3" s="33"/>
      <c r="E3" s="33"/>
      <c r="F3" s="33"/>
      <c r="G3" s="33"/>
      <c r="H3" s="33"/>
      <c r="I3" s="33"/>
      <c r="J3" s="33"/>
      <c r="K3" s="33"/>
      <c r="L3" s="33"/>
      <c r="M3" s="33"/>
    </row>
    <row r="4" spans="2:13" ht="10.5" customHeight="1" x14ac:dyDescent="0.2">
      <c r="B4" s="28"/>
      <c r="C4" s="135"/>
      <c r="D4" s="135"/>
      <c r="E4" s="135"/>
      <c r="F4" s="135"/>
      <c r="G4" s="135"/>
      <c r="H4" s="135"/>
      <c r="I4" s="135"/>
      <c r="J4" s="135"/>
      <c r="K4" s="135"/>
      <c r="L4" s="135"/>
      <c r="M4" s="135"/>
    </row>
    <row r="5" spans="2:13" ht="18" customHeight="1" x14ac:dyDescent="0.2">
      <c r="B5" s="95"/>
      <c r="C5" s="114" t="s">
        <v>95</v>
      </c>
      <c r="D5" s="114" t="s">
        <v>95</v>
      </c>
      <c r="E5" s="114" t="s">
        <v>109</v>
      </c>
      <c r="F5" s="114"/>
      <c r="G5" s="114" t="s">
        <v>175</v>
      </c>
      <c r="H5" s="28"/>
      <c r="I5" s="28"/>
      <c r="J5" s="136" t="s">
        <v>96</v>
      </c>
      <c r="K5" s="137"/>
      <c r="L5" s="136" t="s">
        <v>96</v>
      </c>
      <c r="M5" s="137"/>
    </row>
    <row r="6" spans="2:13" x14ac:dyDescent="0.2">
      <c r="B6" s="89" t="s">
        <v>414</v>
      </c>
      <c r="C6" s="89" t="s">
        <v>97</v>
      </c>
      <c r="D6" s="89" t="s">
        <v>176</v>
      </c>
      <c r="E6" s="89" t="s">
        <v>98</v>
      </c>
      <c r="F6" s="89" t="s">
        <v>53</v>
      </c>
      <c r="G6" s="89" t="s">
        <v>177</v>
      </c>
      <c r="H6" s="682" t="s">
        <v>99</v>
      </c>
      <c r="I6" s="683"/>
      <c r="J6" s="684">
        <f>M1-1</f>
        <v>2023</v>
      </c>
      <c r="K6" s="685"/>
      <c r="L6" s="684">
        <f>M1</f>
        <v>2024</v>
      </c>
      <c r="M6" s="685"/>
    </row>
    <row r="7" spans="2:13" x14ac:dyDescent="0.2">
      <c r="B7" s="92" t="s">
        <v>413</v>
      </c>
      <c r="C7" s="92" t="s">
        <v>100</v>
      </c>
      <c r="D7" s="92" t="s">
        <v>178</v>
      </c>
      <c r="E7" s="92" t="s">
        <v>77</v>
      </c>
      <c r="F7" s="92" t="s">
        <v>101</v>
      </c>
      <c r="G7" s="138" t="str">
        <f>CONCATENATE("Jan 1, ",M1-1,"")</f>
        <v>Jan 1, 2023</v>
      </c>
      <c r="H7" s="99" t="s">
        <v>109</v>
      </c>
      <c r="I7" s="99" t="s">
        <v>111</v>
      </c>
      <c r="J7" s="99" t="s">
        <v>109</v>
      </c>
      <c r="K7" s="99" t="s">
        <v>111</v>
      </c>
      <c r="L7" s="99" t="s">
        <v>109</v>
      </c>
      <c r="M7" s="99" t="s">
        <v>111</v>
      </c>
    </row>
    <row r="8" spans="2:13" x14ac:dyDescent="0.2">
      <c r="B8" s="139" t="s">
        <v>102</v>
      </c>
      <c r="C8" s="38"/>
      <c r="D8" s="38"/>
      <c r="E8" s="140"/>
      <c r="F8" s="141"/>
      <c r="G8" s="141"/>
      <c r="H8" s="38"/>
      <c r="I8" s="38"/>
      <c r="J8" s="141"/>
      <c r="K8" s="141"/>
      <c r="L8" s="141"/>
      <c r="M8" s="141"/>
    </row>
    <row r="9" spans="2:13" x14ac:dyDescent="0.2">
      <c r="B9" s="41"/>
      <c r="C9" s="251"/>
      <c r="D9" s="251"/>
      <c r="E9" s="142"/>
      <c r="F9" s="143"/>
      <c r="G9" s="144"/>
      <c r="H9" s="145"/>
      <c r="I9" s="145"/>
      <c r="J9" s="144"/>
      <c r="K9" s="144"/>
      <c r="L9" s="144"/>
      <c r="M9" s="144"/>
    </row>
    <row r="10" spans="2:13" x14ac:dyDescent="0.2">
      <c r="B10" s="41" t="s">
        <v>1028</v>
      </c>
      <c r="C10" s="251">
        <v>43424</v>
      </c>
      <c r="D10" s="251" t="s">
        <v>1029</v>
      </c>
      <c r="E10" s="142">
        <v>3.95</v>
      </c>
      <c r="F10" s="143">
        <v>1940000</v>
      </c>
      <c r="G10" s="144">
        <v>1725000</v>
      </c>
      <c r="H10" s="145">
        <v>43617</v>
      </c>
      <c r="I10" s="145">
        <v>43800</v>
      </c>
      <c r="J10" s="144"/>
      <c r="K10" s="144"/>
      <c r="L10" s="144"/>
      <c r="M10" s="144"/>
    </row>
    <row r="11" spans="2:13" x14ac:dyDescent="0.2">
      <c r="B11" s="41"/>
      <c r="C11" s="251"/>
      <c r="D11" s="251"/>
      <c r="E11" s="142"/>
      <c r="F11" s="143"/>
      <c r="G11" s="144"/>
      <c r="H11" s="145"/>
      <c r="I11" s="145"/>
      <c r="J11" s="144"/>
      <c r="K11" s="144"/>
      <c r="L11" s="144"/>
      <c r="M11" s="144"/>
    </row>
    <row r="12" spans="2:13" x14ac:dyDescent="0.2">
      <c r="B12" s="41"/>
      <c r="C12" s="251"/>
      <c r="D12" s="251"/>
      <c r="E12" s="142"/>
      <c r="F12" s="143"/>
      <c r="G12" s="144"/>
      <c r="H12" s="145"/>
      <c r="I12" s="145"/>
      <c r="J12" s="144"/>
      <c r="K12" s="144"/>
      <c r="L12" s="144"/>
      <c r="M12" s="144"/>
    </row>
    <row r="13" spans="2:13" x14ac:dyDescent="0.2">
      <c r="B13" s="41"/>
      <c r="C13" s="251"/>
      <c r="D13" s="251"/>
      <c r="E13" s="142"/>
      <c r="F13" s="143"/>
      <c r="G13" s="144"/>
      <c r="H13" s="145"/>
      <c r="I13" s="145"/>
      <c r="J13" s="144"/>
      <c r="K13" s="144"/>
      <c r="L13" s="144"/>
      <c r="M13" s="144"/>
    </row>
    <row r="14" spans="2:13" x14ac:dyDescent="0.2">
      <c r="B14" s="41"/>
      <c r="C14" s="251"/>
      <c r="D14" s="251"/>
      <c r="E14" s="142"/>
      <c r="F14" s="143"/>
      <c r="G14" s="144"/>
      <c r="H14" s="145"/>
      <c r="I14" s="145"/>
      <c r="J14" s="144"/>
      <c r="K14" s="144"/>
      <c r="L14" s="144"/>
      <c r="M14" s="144"/>
    </row>
    <row r="15" spans="2:13" x14ac:dyDescent="0.2">
      <c r="B15" s="41"/>
      <c r="C15" s="251"/>
      <c r="D15" s="251"/>
      <c r="E15" s="142"/>
      <c r="F15" s="143"/>
      <c r="G15" s="144"/>
      <c r="H15" s="145"/>
      <c r="I15" s="145"/>
      <c r="J15" s="144"/>
      <c r="K15" s="144"/>
      <c r="L15" s="144"/>
      <c r="M15" s="144"/>
    </row>
    <row r="16" spans="2:13" x14ac:dyDescent="0.2">
      <c r="B16" s="41"/>
      <c r="C16" s="251"/>
      <c r="D16" s="251"/>
      <c r="E16" s="142"/>
      <c r="F16" s="143"/>
      <c r="G16" s="144"/>
      <c r="H16" s="145"/>
      <c r="I16" s="145"/>
      <c r="J16" s="144"/>
      <c r="K16" s="144"/>
      <c r="L16" s="144"/>
      <c r="M16" s="144"/>
    </row>
    <row r="17" spans="2:13" x14ac:dyDescent="0.2">
      <c r="B17" s="41"/>
      <c r="C17" s="251"/>
      <c r="D17" s="251"/>
      <c r="E17" s="142"/>
      <c r="F17" s="143"/>
      <c r="G17" s="144"/>
      <c r="H17" s="145"/>
      <c r="I17" s="145"/>
      <c r="J17" s="144"/>
      <c r="K17" s="144"/>
      <c r="L17" s="144"/>
      <c r="M17" s="144"/>
    </row>
    <row r="18" spans="2:13" x14ac:dyDescent="0.2">
      <c r="B18" s="41"/>
      <c r="C18" s="251"/>
      <c r="D18" s="251"/>
      <c r="E18" s="142"/>
      <c r="F18" s="143"/>
      <c r="G18" s="144"/>
      <c r="H18" s="145"/>
      <c r="I18" s="145"/>
      <c r="J18" s="144"/>
      <c r="K18" s="144"/>
      <c r="L18" s="144"/>
      <c r="M18" s="144"/>
    </row>
    <row r="19" spans="2:13" x14ac:dyDescent="0.2">
      <c r="B19" s="41"/>
      <c r="C19" s="251"/>
      <c r="D19" s="251"/>
      <c r="E19" s="142"/>
      <c r="F19" s="143"/>
      <c r="G19" s="144"/>
      <c r="H19" s="145"/>
      <c r="I19" s="145"/>
      <c r="J19" s="144"/>
      <c r="K19" s="144"/>
      <c r="L19" s="144"/>
      <c r="M19" s="144"/>
    </row>
    <row r="20" spans="2:13" x14ac:dyDescent="0.2">
      <c r="B20" s="146" t="s">
        <v>103</v>
      </c>
      <c r="C20" s="147"/>
      <c r="D20" s="147"/>
      <c r="E20" s="148"/>
      <c r="F20" s="149"/>
      <c r="G20" s="150">
        <f>SUM(G9:G19)</f>
        <v>1725000</v>
      </c>
      <c r="H20" s="151"/>
      <c r="I20" s="151"/>
      <c r="J20" s="150">
        <f>SUM(J9:J19)</f>
        <v>0</v>
      </c>
      <c r="K20" s="150">
        <f>SUM(K9:K19)</f>
        <v>0</v>
      </c>
      <c r="L20" s="150">
        <f>SUM(L9:L19)</f>
        <v>0</v>
      </c>
      <c r="M20" s="150">
        <f>SUM(M9:M19)</f>
        <v>0</v>
      </c>
    </row>
    <row r="21" spans="2:13" x14ac:dyDescent="0.2">
      <c r="B21" s="139" t="s">
        <v>104</v>
      </c>
      <c r="C21" s="152"/>
      <c r="D21" s="152"/>
      <c r="E21" s="153"/>
      <c r="F21" s="154"/>
      <c r="G21" s="154"/>
      <c r="H21" s="155"/>
      <c r="I21" s="155"/>
      <c r="J21" s="154"/>
      <c r="K21" s="154"/>
      <c r="L21" s="154"/>
      <c r="M21" s="154"/>
    </row>
    <row r="22" spans="2:13" x14ac:dyDescent="0.2">
      <c r="B22" s="41"/>
      <c r="C22" s="251"/>
      <c r="D22" s="251"/>
      <c r="E22" s="142"/>
      <c r="F22" s="143"/>
      <c r="G22" s="144"/>
      <c r="H22" s="145"/>
      <c r="I22" s="145"/>
      <c r="J22" s="144"/>
      <c r="K22" s="144"/>
      <c r="L22" s="144"/>
      <c r="M22" s="144"/>
    </row>
    <row r="23" spans="2:13" x14ac:dyDescent="0.2">
      <c r="B23" s="41"/>
      <c r="C23" s="251"/>
      <c r="D23" s="251"/>
      <c r="E23" s="142"/>
      <c r="F23" s="143"/>
      <c r="G23" s="144"/>
      <c r="H23" s="145"/>
      <c r="I23" s="145"/>
      <c r="J23" s="144"/>
      <c r="K23" s="144"/>
      <c r="L23" s="144"/>
      <c r="M23" s="144"/>
    </row>
    <row r="24" spans="2:13" x14ac:dyDescent="0.2">
      <c r="B24" s="41"/>
      <c r="C24" s="251"/>
      <c r="D24" s="251"/>
      <c r="E24" s="142"/>
      <c r="F24" s="143"/>
      <c r="G24" s="144"/>
      <c r="H24" s="145"/>
      <c r="I24" s="145"/>
      <c r="J24" s="144"/>
      <c r="K24" s="144"/>
      <c r="L24" s="144"/>
      <c r="M24" s="144"/>
    </row>
    <row r="25" spans="2:13" x14ac:dyDescent="0.2">
      <c r="B25" s="41"/>
      <c r="C25" s="251"/>
      <c r="D25" s="251"/>
      <c r="E25" s="142"/>
      <c r="F25" s="143"/>
      <c r="G25" s="144"/>
      <c r="H25" s="145"/>
      <c r="I25" s="145"/>
      <c r="J25" s="144"/>
      <c r="K25" s="144"/>
      <c r="L25" s="144"/>
      <c r="M25" s="144"/>
    </row>
    <row r="26" spans="2:13" x14ac:dyDescent="0.2">
      <c r="B26" s="41"/>
      <c r="C26" s="251"/>
      <c r="D26" s="251"/>
      <c r="E26" s="142"/>
      <c r="F26" s="143"/>
      <c r="G26" s="144"/>
      <c r="H26" s="145"/>
      <c r="I26" s="145"/>
      <c r="J26" s="144"/>
      <c r="K26" s="144"/>
      <c r="L26" s="144"/>
      <c r="M26" s="144"/>
    </row>
    <row r="27" spans="2:13" x14ac:dyDescent="0.2">
      <c r="B27" s="41"/>
      <c r="C27" s="251"/>
      <c r="D27" s="251"/>
      <c r="E27" s="142"/>
      <c r="F27" s="143"/>
      <c r="G27" s="144"/>
      <c r="H27" s="145"/>
      <c r="I27" s="145"/>
      <c r="J27" s="144"/>
      <c r="K27" s="144"/>
      <c r="L27" s="144"/>
      <c r="M27" s="144"/>
    </row>
    <row r="28" spans="2:13" x14ac:dyDescent="0.2">
      <c r="B28" s="41"/>
      <c r="C28" s="251"/>
      <c r="D28" s="251"/>
      <c r="E28" s="142"/>
      <c r="F28" s="143"/>
      <c r="G28" s="144"/>
      <c r="H28" s="145"/>
      <c r="I28" s="145"/>
      <c r="J28" s="144"/>
      <c r="K28" s="144"/>
      <c r="L28" s="144"/>
      <c r="M28" s="144"/>
    </row>
    <row r="29" spans="2:13" x14ac:dyDescent="0.2">
      <c r="B29" s="41"/>
      <c r="C29" s="251"/>
      <c r="D29" s="251"/>
      <c r="E29" s="142"/>
      <c r="F29" s="143"/>
      <c r="G29" s="144"/>
      <c r="H29" s="145"/>
      <c r="I29" s="145"/>
      <c r="J29" s="144"/>
      <c r="K29" s="144"/>
      <c r="L29" s="144"/>
      <c r="M29" s="144"/>
    </row>
    <row r="30" spans="2:13" x14ac:dyDescent="0.2">
      <c r="B30" s="41"/>
      <c r="C30" s="251"/>
      <c r="D30" s="251"/>
      <c r="E30" s="142"/>
      <c r="F30" s="143"/>
      <c r="G30" s="144"/>
      <c r="H30" s="145"/>
      <c r="I30" s="145"/>
      <c r="J30" s="144"/>
      <c r="K30" s="144"/>
      <c r="L30" s="144"/>
      <c r="M30" s="144"/>
    </row>
    <row r="31" spans="2:13" x14ac:dyDescent="0.2">
      <c r="B31" s="41"/>
      <c r="C31" s="251"/>
      <c r="D31" s="251"/>
      <c r="E31" s="142"/>
      <c r="F31" s="143"/>
      <c r="G31" s="144"/>
      <c r="H31" s="145"/>
      <c r="I31" s="145"/>
      <c r="J31" s="144"/>
      <c r="K31" s="144"/>
      <c r="L31" s="144"/>
      <c r="M31" s="144"/>
    </row>
    <row r="32" spans="2:13" x14ac:dyDescent="0.2">
      <c r="B32" s="146" t="s">
        <v>105</v>
      </c>
      <c r="C32" s="147"/>
      <c r="D32" s="147"/>
      <c r="E32" s="156"/>
      <c r="F32" s="149"/>
      <c r="G32" s="157">
        <f>SUM(G22:G31)</f>
        <v>0</v>
      </c>
      <c r="H32" s="151"/>
      <c r="I32" s="151"/>
      <c r="J32" s="157">
        <f>SUM(J22:J31)</f>
        <v>0</v>
      </c>
      <c r="K32" s="157">
        <f>SUM(K22:K31)</f>
        <v>0</v>
      </c>
      <c r="L32" s="150">
        <f>SUM(L22:L31)</f>
        <v>0</v>
      </c>
      <c r="M32" s="157">
        <f>SUM(M22:M31)</f>
        <v>0</v>
      </c>
    </row>
    <row r="33" spans="2:29" x14ac:dyDescent="0.2">
      <c r="B33" s="139" t="s">
        <v>106</v>
      </c>
      <c r="C33" s="152"/>
      <c r="D33" s="152"/>
      <c r="E33" s="153"/>
      <c r="F33" s="154"/>
      <c r="G33" s="158"/>
      <c r="H33" s="155"/>
      <c r="I33" s="155"/>
      <c r="J33" s="154"/>
      <c r="K33" s="154"/>
      <c r="L33" s="154"/>
      <c r="M33" s="154"/>
    </row>
    <row r="34" spans="2:29" x14ac:dyDescent="0.2">
      <c r="B34" s="41"/>
      <c r="C34" s="251"/>
      <c r="D34" s="251"/>
      <c r="E34" s="142"/>
      <c r="F34" s="143"/>
      <c r="G34" s="144"/>
      <c r="H34" s="145"/>
      <c r="I34" s="145"/>
      <c r="J34" s="144"/>
      <c r="K34" s="144"/>
      <c r="L34" s="144"/>
      <c r="M34" s="144"/>
    </row>
    <row r="35" spans="2:29" x14ac:dyDescent="0.2">
      <c r="B35" s="41" t="s">
        <v>1031</v>
      </c>
      <c r="C35" s="251">
        <v>44993</v>
      </c>
      <c r="D35" s="251"/>
      <c r="E35" s="142">
        <v>3.95</v>
      </c>
      <c r="F35" s="143"/>
      <c r="G35" s="144"/>
      <c r="H35" s="145"/>
      <c r="I35" s="145"/>
      <c r="J35" s="144"/>
      <c r="K35" s="144"/>
      <c r="L35" s="144"/>
      <c r="M35" s="144"/>
    </row>
    <row r="36" spans="2:29" x14ac:dyDescent="0.2">
      <c r="B36" s="41" t="s">
        <v>1030</v>
      </c>
      <c r="C36" s="251"/>
      <c r="D36" s="251"/>
      <c r="E36" s="142"/>
      <c r="F36" s="143"/>
      <c r="G36" s="144"/>
      <c r="H36" s="145"/>
      <c r="I36" s="145"/>
      <c r="J36" s="144"/>
      <c r="K36" s="144"/>
      <c r="L36" s="144"/>
      <c r="M36" s="144"/>
    </row>
    <row r="37" spans="2:29" x14ac:dyDescent="0.2">
      <c r="B37" s="41"/>
      <c r="C37" s="251"/>
      <c r="D37" s="251"/>
      <c r="E37" s="142"/>
      <c r="F37" s="143"/>
      <c r="G37" s="144"/>
      <c r="H37" s="145"/>
      <c r="I37" s="145"/>
      <c r="J37" s="144"/>
      <c r="K37" s="144"/>
      <c r="L37" s="144"/>
      <c r="M37" s="144"/>
    </row>
    <row r="38" spans="2:29" x14ac:dyDescent="0.2">
      <c r="B38" s="41"/>
      <c r="C38" s="251"/>
      <c r="D38" s="251"/>
      <c r="E38" s="142"/>
      <c r="F38" s="143"/>
      <c r="G38" s="144"/>
      <c r="H38" s="145"/>
      <c r="I38" s="145"/>
      <c r="J38" s="144"/>
      <c r="K38" s="144"/>
      <c r="L38" s="144"/>
      <c r="M38" s="144"/>
    </row>
    <row r="39" spans="2:29" x14ac:dyDescent="0.2">
      <c r="B39" s="41"/>
      <c r="C39" s="251"/>
      <c r="D39" s="251"/>
      <c r="E39" s="142"/>
      <c r="F39" s="143"/>
      <c r="G39" s="144"/>
      <c r="H39" s="145"/>
      <c r="I39" s="145"/>
      <c r="J39" s="144"/>
      <c r="K39" s="144"/>
      <c r="L39" s="144"/>
      <c r="M39" s="144"/>
    </row>
    <row r="40" spans="2:29" x14ac:dyDescent="0.2">
      <c r="B40" s="41"/>
      <c r="C40" s="251"/>
      <c r="D40" s="251"/>
      <c r="E40" s="142"/>
      <c r="F40" s="143"/>
      <c r="G40" s="144"/>
      <c r="H40" s="145"/>
      <c r="I40" s="145"/>
      <c r="J40" s="144"/>
      <c r="K40" s="144"/>
      <c r="L40" s="144"/>
      <c r="M40" s="144"/>
    </row>
    <row r="41" spans="2:29" x14ac:dyDescent="0.2">
      <c r="B41" s="41"/>
      <c r="C41" s="251"/>
      <c r="D41" s="251"/>
      <c r="E41" s="142"/>
      <c r="F41" s="143"/>
      <c r="G41" s="144"/>
      <c r="H41" s="145"/>
      <c r="I41" s="145"/>
      <c r="J41" s="144"/>
      <c r="K41" s="144"/>
      <c r="L41" s="144"/>
      <c r="M41" s="144"/>
      <c r="N41" s="24"/>
      <c r="O41" s="24"/>
      <c r="P41" s="24"/>
      <c r="Q41" s="24"/>
      <c r="R41" s="24"/>
      <c r="S41" s="24"/>
      <c r="T41" s="24"/>
      <c r="U41" s="24"/>
      <c r="V41" s="24"/>
      <c r="W41" s="24"/>
      <c r="X41" s="24"/>
      <c r="Y41" s="24"/>
      <c r="Z41" s="24"/>
      <c r="AA41" s="24"/>
      <c r="AB41" s="24"/>
      <c r="AC41" s="24"/>
    </row>
    <row r="42" spans="2:29" x14ac:dyDescent="0.2">
      <c r="B42" s="146" t="s">
        <v>179</v>
      </c>
      <c r="C42" s="128"/>
      <c r="D42" s="128"/>
      <c r="E42" s="156"/>
      <c r="F42" s="149"/>
      <c r="G42" s="157">
        <f>SUM(G34:G41)</f>
        <v>0</v>
      </c>
      <c r="H42" s="149"/>
      <c r="I42" s="149"/>
      <c r="J42" s="157">
        <f>SUM(J34:J41)</f>
        <v>0</v>
      </c>
      <c r="K42" s="157">
        <f>SUM(K34:K41)</f>
        <v>0</v>
      </c>
      <c r="L42" s="157">
        <f>SUM(L34:L41)</f>
        <v>0</v>
      </c>
      <c r="M42" s="157">
        <f>SUM(M34:M41)</f>
        <v>0</v>
      </c>
    </row>
    <row r="43" spans="2:29" x14ac:dyDescent="0.2">
      <c r="B43" s="146" t="s">
        <v>107</v>
      </c>
      <c r="C43" s="128"/>
      <c r="D43" s="128"/>
      <c r="E43" s="128"/>
      <c r="F43" s="149"/>
      <c r="G43" s="157">
        <f>SUM(G20+G32+G42)</f>
        <v>1725000</v>
      </c>
      <c r="H43" s="149"/>
      <c r="I43" s="149"/>
      <c r="J43" s="157">
        <f>SUM(J20+J32+J42)</f>
        <v>0</v>
      </c>
      <c r="K43" s="157">
        <f>SUM(K20+K32+K42)</f>
        <v>0</v>
      </c>
      <c r="L43" s="157">
        <f>SUM(L20+L32+L42)</f>
        <v>0</v>
      </c>
      <c r="M43" s="157">
        <f>SUM(M20+M32+M42)</f>
        <v>0</v>
      </c>
    </row>
    <row r="44" spans="2:29" x14ac:dyDescent="0.2">
      <c r="B44" s="24"/>
      <c r="C44" s="24"/>
      <c r="D44" s="24"/>
      <c r="E44" s="24"/>
      <c r="F44" s="24"/>
      <c r="G44" s="24"/>
      <c r="H44" s="24"/>
      <c r="I44" s="24"/>
      <c r="J44" s="24"/>
      <c r="K44" s="24"/>
      <c r="L44" s="24"/>
      <c r="M44" s="24"/>
    </row>
    <row r="45" spans="2:29" x14ac:dyDescent="0.2">
      <c r="F45" s="159"/>
      <c r="G45" s="159"/>
      <c r="J45" s="159"/>
      <c r="K45" s="159"/>
      <c r="L45" s="159"/>
      <c r="M45" s="159"/>
    </row>
    <row r="46" spans="2:29" x14ac:dyDescent="0.2">
      <c r="F46" s="24"/>
      <c r="H46" s="160"/>
      <c r="N46" s="24"/>
    </row>
    <row r="47" spans="2:29" x14ac:dyDescent="0.2">
      <c r="B47" s="24"/>
      <c r="C47" s="24"/>
      <c r="D47" s="24"/>
      <c r="E47" s="24"/>
      <c r="F47" s="24"/>
      <c r="G47" s="24"/>
      <c r="H47" s="24"/>
      <c r="I47" s="24"/>
      <c r="J47" s="24"/>
      <c r="K47" s="24"/>
      <c r="L47" s="24"/>
      <c r="M47" s="24"/>
    </row>
    <row r="48" spans="2:29" x14ac:dyDescent="0.2">
      <c r="B48" s="24"/>
      <c r="C48" s="24"/>
      <c r="D48" s="24"/>
      <c r="E48" s="24"/>
      <c r="F48" s="24"/>
      <c r="G48" s="24"/>
      <c r="H48" s="24"/>
      <c r="I48" s="24"/>
      <c r="J48" s="24"/>
      <c r="K48" s="24"/>
      <c r="L48" s="24"/>
      <c r="M48" s="24"/>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&amp;RState of Kansas
City</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30"/>
  <sheetViews>
    <sheetView zoomScale="90" zoomScaleNormal="90" workbookViewId="0">
      <selection activeCell="I16" sqref="I16"/>
    </sheetView>
  </sheetViews>
  <sheetFormatPr defaultColWidth="8.88671875" defaultRowHeight="15.75" x14ac:dyDescent="0.25"/>
  <cols>
    <col min="1" max="1" width="4.88671875" style="2" customWidth="1"/>
    <col min="2" max="2" width="23.5546875" style="2" customWidth="1"/>
    <col min="3" max="5" width="9.77734375" style="2" customWidth="1"/>
    <col min="6" max="6" width="18.33203125" style="2" customWidth="1"/>
    <col min="7" max="9" width="15.77734375" style="2" customWidth="1"/>
    <col min="10" max="16384" width="8.88671875" style="2"/>
  </cols>
  <sheetData>
    <row r="1" spans="2:9" x14ac:dyDescent="0.25">
      <c r="B1" s="10" t="str">
        <f>inputPrYr!$D$3</f>
        <v>Wellsville</v>
      </c>
      <c r="C1" s="5"/>
      <c r="D1" s="5"/>
      <c r="E1" s="5"/>
      <c r="F1" s="5"/>
      <c r="G1" s="5"/>
      <c r="H1" s="5"/>
      <c r="I1" s="6">
        <f>inputPrYr!C6</f>
        <v>2024</v>
      </c>
    </row>
    <row r="2" spans="2:9" x14ac:dyDescent="0.25">
      <c r="B2" s="10"/>
      <c r="C2" s="5"/>
      <c r="D2" s="5"/>
      <c r="E2" s="5"/>
      <c r="F2" s="5"/>
      <c r="G2" s="5"/>
      <c r="H2" s="5"/>
      <c r="I2" s="7"/>
    </row>
    <row r="3" spans="2:9" x14ac:dyDescent="0.25">
      <c r="B3" s="5"/>
      <c r="C3" s="5"/>
      <c r="D3" s="5"/>
      <c r="E3" s="5"/>
      <c r="F3" s="5"/>
      <c r="G3" s="5"/>
      <c r="H3" s="5"/>
      <c r="I3" s="6"/>
    </row>
    <row r="4" spans="2:9" x14ac:dyDescent="0.25">
      <c r="B4" s="11" t="s">
        <v>119</v>
      </c>
      <c r="C4" s="8"/>
      <c r="D4" s="8"/>
      <c r="E4" s="8"/>
      <c r="F4" s="8"/>
      <c r="G4" s="8"/>
      <c r="H4" s="8"/>
      <c r="I4" s="8"/>
    </row>
    <row r="5" spans="2:9" x14ac:dyDescent="0.25">
      <c r="B5" s="4"/>
      <c r="C5" s="15"/>
      <c r="D5" s="15"/>
      <c r="E5" s="15"/>
      <c r="F5" s="15"/>
      <c r="G5" s="15"/>
      <c r="H5" s="15"/>
      <c r="I5" s="15"/>
    </row>
    <row r="6" spans="2:9" x14ac:dyDescent="0.25">
      <c r="B6" s="9"/>
      <c r="C6" s="9"/>
      <c r="D6" s="9"/>
      <c r="E6" s="9"/>
      <c r="F6" s="12" t="s">
        <v>35</v>
      </c>
      <c r="G6" s="9"/>
      <c r="H6" s="9"/>
      <c r="I6" s="9"/>
    </row>
    <row r="7" spans="2:9" x14ac:dyDescent="0.25">
      <c r="B7" s="366"/>
      <c r="C7" s="13"/>
      <c r="D7" s="13" t="s">
        <v>108</v>
      </c>
      <c r="E7" s="13" t="s">
        <v>109</v>
      </c>
      <c r="F7" s="13" t="s">
        <v>53</v>
      </c>
      <c r="G7" s="13" t="s">
        <v>692</v>
      </c>
      <c r="H7" s="13" t="s">
        <v>112</v>
      </c>
      <c r="I7" s="13" t="s">
        <v>112</v>
      </c>
    </row>
    <row r="8" spans="2:9" x14ac:dyDescent="0.25">
      <c r="B8" s="13" t="s">
        <v>416</v>
      </c>
      <c r="C8" s="13" t="s">
        <v>113</v>
      </c>
      <c r="D8" s="13" t="s">
        <v>114</v>
      </c>
      <c r="E8" s="13" t="s">
        <v>98</v>
      </c>
      <c r="F8" s="13" t="s">
        <v>115</v>
      </c>
      <c r="G8" s="13" t="s">
        <v>693</v>
      </c>
      <c r="H8" s="13" t="s">
        <v>116</v>
      </c>
      <c r="I8" s="13" t="s">
        <v>116</v>
      </c>
    </row>
    <row r="9" spans="2:9" x14ac:dyDescent="0.25">
      <c r="B9" s="14" t="s">
        <v>415</v>
      </c>
      <c r="C9" s="14" t="s">
        <v>95</v>
      </c>
      <c r="D9" s="17" t="s">
        <v>117</v>
      </c>
      <c r="E9" s="14" t="s">
        <v>77</v>
      </c>
      <c r="F9" s="17" t="s">
        <v>142</v>
      </c>
      <c r="G9" s="571">
        <f>inputPrYr!C6-1</f>
        <v>2023</v>
      </c>
      <c r="H9" s="14">
        <f>I1-1</f>
        <v>2023</v>
      </c>
      <c r="I9" s="14">
        <f>I1</f>
        <v>2024</v>
      </c>
    </row>
    <row r="10" spans="2:9" x14ac:dyDescent="0.25">
      <c r="B10" s="3"/>
      <c r="C10" s="23"/>
      <c r="D10" s="21"/>
      <c r="E10" s="19"/>
      <c r="F10" s="20"/>
      <c r="G10" s="20"/>
      <c r="H10" s="20"/>
      <c r="I10" s="20"/>
    </row>
    <row r="11" spans="2:9" x14ac:dyDescent="0.25">
      <c r="B11" s="41" t="s">
        <v>1024</v>
      </c>
      <c r="C11" s="251">
        <v>43497</v>
      </c>
      <c r="D11" s="632">
        <v>60</v>
      </c>
      <c r="E11" s="142">
        <v>4.38</v>
      </c>
      <c r="F11" s="143">
        <v>61495</v>
      </c>
      <c r="G11" s="143">
        <v>32065</v>
      </c>
      <c r="H11" s="143">
        <v>17093</v>
      </c>
      <c r="I11" s="143">
        <v>17093</v>
      </c>
    </row>
    <row r="12" spans="2:9" x14ac:dyDescent="0.25">
      <c r="B12" s="3"/>
      <c r="C12" s="23"/>
      <c r="D12" s="21"/>
      <c r="E12" s="19"/>
      <c r="F12" s="20"/>
      <c r="G12" s="20"/>
      <c r="H12" s="20"/>
      <c r="I12" s="20"/>
    </row>
    <row r="13" spans="2:9" x14ac:dyDescent="0.25">
      <c r="B13" s="3" t="s">
        <v>1025</v>
      </c>
      <c r="C13" s="23">
        <v>43910</v>
      </c>
      <c r="D13" s="21">
        <v>36</v>
      </c>
      <c r="E13" s="19">
        <v>6.4</v>
      </c>
      <c r="F13" s="20">
        <v>32880</v>
      </c>
      <c r="G13" s="143">
        <v>10943</v>
      </c>
      <c r="H13" s="143">
        <v>10943</v>
      </c>
      <c r="I13" s="143">
        <v>0</v>
      </c>
    </row>
    <row r="14" spans="2:9" x14ac:dyDescent="0.25">
      <c r="B14" s="3" t="s">
        <v>1026</v>
      </c>
      <c r="C14" s="23">
        <v>43965</v>
      </c>
      <c r="D14" s="21">
        <v>36</v>
      </c>
      <c r="E14" s="19">
        <v>5.65</v>
      </c>
      <c r="F14" s="143">
        <v>32880</v>
      </c>
      <c r="G14" s="143">
        <v>10949</v>
      </c>
      <c r="H14" s="143">
        <v>10949</v>
      </c>
      <c r="I14" s="143">
        <v>0</v>
      </c>
    </row>
    <row r="15" spans="2:9" x14ac:dyDescent="0.25">
      <c r="B15" s="3"/>
      <c r="C15" s="23"/>
      <c r="D15" s="21"/>
      <c r="E15" s="19"/>
      <c r="F15" s="20"/>
      <c r="G15" s="20"/>
      <c r="H15" s="20"/>
      <c r="I15" s="20"/>
    </row>
    <row r="16" spans="2:9" x14ac:dyDescent="0.25">
      <c r="B16" s="3" t="s">
        <v>1027</v>
      </c>
      <c r="C16" s="23">
        <v>44741</v>
      </c>
      <c r="D16" s="21">
        <v>60</v>
      </c>
      <c r="E16" s="19">
        <v>3.5</v>
      </c>
      <c r="F16" s="20">
        <v>500000</v>
      </c>
      <c r="G16" s="20">
        <v>500000</v>
      </c>
      <c r="H16" s="20">
        <v>59398</v>
      </c>
      <c r="I16" s="20">
        <v>60000</v>
      </c>
    </row>
    <row r="17" spans="2:9" x14ac:dyDescent="0.25">
      <c r="B17" s="3"/>
      <c r="C17" s="23"/>
      <c r="D17" s="21"/>
      <c r="E17" s="19"/>
      <c r="F17" s="20"/>
      <c r="G17" s="20"/>
      <c r="H17" s="20"/>
      <c r="I17" s="20"/>
    </row>
    <row r="18" spans="2:9" x14ac:dyDescent="0.25">
      <c r="B18" s="3"/>
      <c r="C18" s="23"/>
      <c r="D18" s="21"/>
      <c r="E18" s="19"/>
      <c r="F18" s="20"/>
      <c r="G18" s="20"/>
      <c r="H18" s="20"/>
      <c r="I18" s="20"/>
    </row>
    <row r="19" spans="2:9" x14ac:dyDescent="0.25">
      <c r="B19" s="3"/>
      <c r="C19" s="23"/>
      <c r="D19" s="21"/>
      <c r="E19" s="19"/>
      <c r="F19" s="20"/>
      <c r="G19" s="20"/>
      <c r="H19" s="20"/>
      <c r="I19" s="20"/>
    </row>
    <row r="20" spans="2:9" x14ac:dyDescent="0.25">
      <c r="B20" s="3"/>
      <c r="C20" s="23"/>
      <c r="D20" s="21"/>
      <c r="E20" s="19"/>
      <c r="F20" s="20"/>
      <c r="G20" s="20"/>
      <c r="H20" s="20"/>
      <c r="I20" s="20"/>
    </row>
    <row r="21" spans="2:9" x14ac:dyDescent="0.25">
      <c r="B21" s="3"/>
      <c r="C21" s="23"/>
      <c r="D21" s="21"/>
      <c r="E21" s="19"/>
      <c r="F21" s="20"/>
      <c r="G21" s="20"/>
      <c r="H21" s="20"/>
      <c r="I21" s="20"/>
    </row>
    <row r="22" spans="2:9" x14ac:dyDescent="0.25">
      <c r="B22" s="3"/>
      <c r="C22" s="23"/>
      <c r="D22" s="21"/>
      <c r="E22" s="19"/>
      <c r="F22" s="20"/>
      <c r="G22" s="20"/>
      <c r="H22" s="20"/>
      <c r="I22" s="20"/>
    </row>
    <row r="23" spans="2:9" x14ac:dyDescent="0.25">
      <c r="B23" s="3"/>
      <c r="C23" s="23"/>
      <c r="D23" s="21"/>
      <c r="E23" s="19"/>
      <c r="F23" s="20"/>
      <c r="G23" s="20"/>
      <c r="H23" s="20"/>
      <c r="I23" s="20"/>
    </row>
    <row r="24" spans="2:9" x14ac:dyDescent="0.25">
      <c r="B24" s="3"/>
      <c r="C24" s="23"/>
      <c r="D24" s="21"/>
      <c r="E24" s="19"/>
      <c r="F24" s="20"/>
      <c r="G24" s="20"/>
      <c r="H24" s="20"/>
      <c r="I24" s="20"/>
    </row>
    <row r="25" spans="2:9" x14ac:dyDescent="0.25">
      <c r="B25" s="3"/>
      <c r="C25" s="23"/>
      <c r="D25" s="21"/>
      <c r="E25" s="19"/>
      <c r="F25" s="20"/>
      <c r="G25" s="20"/>
      <c r="H25" s="20"/>
      <c r="I25" s="20"/>
    </row>
    <row r="26" spans="2:9" x14ac:dyDescent="0.25">
      <c r="B26" s="3"/>
      <c r="C26" s="23"/>
      <c r="D26" s="21"/>
      <c r="E26" s="19"/>
      <c r="F26" s="20"/>
      <c r="G26" s="20"/>
      <c r="H26" s="20"/>
      <c r="I26" s="20"/>
    </row>
    <row r="27" spans="2:9" x14ac:dyDescent="0.25">
      <c r="B27" s="3"/>
      <c r="C27" s="23"/>
      <c r="D27" s="21"/>
      <c r="E27" s="19"/>
      <c r="F27" s="20"/>
      <c r="G27" s="20"/>
      <c r="H27" s="20"/>
      <c r="I27" s="20"/>
    </row>
    <row r="28" spans="2:9" ht="16.5" thickBot="1" x14ac:dyDescent="0.3">
      <c r="B28" s="16"/>
      <c r="C28" s="18"/>
      <c r="D28" s="18"/>
      <c r="E28" s="18"/>
      <c r="F28" s="440" t="s">
        <v>48</v>
      </c>
      <c r="G28" s="22">
        <f>SUM(G10:G27)</f>
        <v>553957</v>
      </c>
      <c r="H28" s="22">
        <f>SUM(H10:H27)</f>
        <v>98383</v>
      </c>
      <c r="I28" s="22">
        <f>SUM(I10:I27)</f>
        <v>77093</v>
      </c>
    </row>
    <row r="29" spans="2:9" ht="16.5" thickTop="1" x14ac:dyDescent="0.25">
      <c r="B29" s="5"/>
      <c r="C29" s="5"/>
      <c r="D29" s="5"/>
      <c r="E29" s="5"/>
      <c r="F29" s="5"/>
      <c r="G29" s="5"/>
      <c r="H29" s="10"/>
      <c r="I29" s="10"/>
    </row>
    <row r="30" spans="2:9" ht="18.75" x14ac:dyDescent="0.3">
      <c r="B30" s="686" t="s">
        <v>691</v>
      </c>
      <c r="C30" s="686"/>
      <c r="D30" s="686"/>
      <c r="E30" s="686"/>
      <c r="F30" s="686"/>
      <c r="G30" s="686"/>
      <c r="H30" s="686"/>
      <c r="I30" s="686"/>
    </row>
  </sheetData>
  <sheetProtection sheet="1"/>
  <mergeCells count="1">
    <mergeCell ref="B30:I30"/>
  </mergeCells>
  <phoneticPr fontId="0" type="noConversion"/>
  <pageMargins left="0.25" right="0.25" top="1" bottom="0.5" header="0.5" footer="0.5"/>
  <pageSetup scale="85" orientation="landscape" blackAndWhite="1" horizontalDpi="120" verticalDpi="144"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108"/>
  <sheetViews>
    <sheetView zoomScaleNormal="100" workbookViewId="0">
      <selection activeCell="E97" sqref="E97"/>
    </sheetView>
  </sheetViews>
  <sheetFormatPr defaultColWidth="8.88671875" defaultRowHeight="15" x14ac:dyDescent="0.2"/>
  <cols>
    <col min="1" max="1" width="2.5546875" style="413" customWidth="1"/>
    <col min="2" max="4" width="8.88671875" style="413"/>
    <col min="5" max="5" width="9.6640625" style="413" customWidth="1"/>
    <col min="6" max="6" width="8.88671875" style="413"/>
    <col min="7" max="7" width="9.6640625" style="413" customWidth="1"/>
    <col min="8" max="16384" width="8.88671875" style="413"/>
  </cols>
  <sheetData>
    <row r="1" spans="2:9" ht="15.75" x14ac:dyDescent="0.25">
      <c r="B1" s="412"/>
      <c r="C1" s="412"/>
      <c r="D1" s="412"/>
      <c r="E1" s="412"/>
      <c r="F1" s="412"/>
      <c r="G1" s="412"/>
      <c r="H1" s="412"/>
      <c r="I1" s="412"/>
    </row>
    <row r="2" spans="2:9" ht="15.75" x14ac:dyDescent="0.2">
      <c r="B2" s="689" t="s">
        <v>424</v>
      </c>
      <c r="C2" s="689"/>
      <c r="D2" s="689"/>
      <c r="E2" s="689"/>
      <c r="F2" s="689"/>
      <c r="G2" s="689"/>
      <c r="H2" s="689"/>
      <c r="I2" s="689"/>
    </row>
    <row r="3" spans="2:9" ht="15.75" x14ac:dyDescent="0.2">
      <c r="B3" s="689" t="s">
        <v>425</v>
      </c>
      <c r="C3" s="689"/>
      <c r="D3" s="689"/>
      <c r="E3" s="689"/>
      <c r="F3" s="689"/>
      <c r="G3" s="689"/>
      <c r="H3" s="689"/>
      <c r="I3" s="689"/>
    </row>
    <row r="4" spans="2:9" ht="15.75" x14ac:dyDescent="0.2">
      <c r="B4" s="414"/>
      <c r="C4" s="414"/>
      <c r="D4" s="414"/>
      <c r="E4" s="414"/>
      <c r="F4" s="414"/>
      <c r="G4" s="414"/>
      <c r="H4" s="414"/>
      <c r="I4" s="414"/>
    </row>
    <row r="5" spans="2:9" ht="15.75" x14ac:dyDescent="0.2">
      <c r="B5" s="690" t="str">
        <f>CONCATENATE("Budgeted Year: ",inputPrYr!C6,"")</f>
        <v>Budgeted Year: 2024</v>
      </c>
      <c r="C5" s="690"/>
      <c r="D5" s="690"/>
      <c r="E5" s="690"/>
      <c r="F5" s="690"/>
      <c r="G5" s="690"/>
      <c r="H5" s="690"/>
      <c r="I5" s="690"/>
    </row>
    <row r="6" spans="2:9" ht="15.75" x14ac:dyDescent="0.2">
      <c r="B6" s="415"/>
      <c r="C6" s="414"/>
      <c r="D6" s="414"/>
      <c r="E6" s="414"/>
      <c r="F6" s="414"/>
      <c r="G6" s="414"/>
      <c r="H6" s="414"/>
      <c r="I6" s="414"/>
    </row>
    <row r="7" spans="2:9" ht="15.75" x14ac:dyDescent="0.2">
      <c r="B7" s="415" t="str">
        <f>CONCATENATE("Library found in: ",inputPrYr!D3,"")</f>
        <v>Library found in: Wellsville</v>
      </c>
      <c r="C7" s="414"/>
      <c r="D7" s="414"/>
      <c r="E7" s="414"/>
      <c r="F7" s="414"/>
      <c r="G7" s="414"/>
      <c r="H7" s="414"/>
      <c r="I7" s="414"/>
    </row>
    <row r="8" spans="2:9" ht="15.75" x14ac:dyDescent="0.2">
      <c r="B8" s="415" t="str">
        <f>inputPrYr!D4</f>
        <v>Franklin</v>
      </c>
      <c r="C8" s="414"/>
      <c r="D8" s="414"/>
      <c r="E8" s="414"/>
      <c r="F8" s="414"/>
      <c r="G8" s="414"/>
      <c r="H8" s="414"/>
      <c r="I8" s="414"/>
    </row>
    <row r="9" spans="2:9" ht="15.75" x14ac:dyDescent="0.2">
      <c r="B9" s="414"/>
      <c r="C9" s="414"/>
      <c r="D9" s="414"/>
      <c r="E9" s="414"/>
      <c r="F9" s="414"/>
      <c r="G9" s="414"/>
      <c r="H9" s="414"/>
      <c r="I9" s="414"/>
    </row>
    <row r="10" spans="2:9" ht="39" customHeight="1" x14ac:dyDescent="0.2">
      <c r="B10" s="691" t="s">
        <v>694</v>
      </c>
      <c r="C10" s="691"/>
      <c r="D10" s="691"/>
      <c r="E10" s="691"/>
      <c r="F10" s="691"/>
      <c r="G10" s="691"/>
      <c r="H10" s="691"/>
      <c r="I10" s="691"/>
    </row>
    <row r="11" spans="2:9" ht="15.75" x14ac:dyDescent="0.2">
      <c r="B11" s="414"/>
      <c r="C11" s="414"/>
      <c r="D11" s="414"/>
      <c r="E11" s="414"/>
      <c r="F11" s="414"/>
      <c r="G11" s="414"/>
      <c r="H11" s="414"/>
      <c r="I11" s="414"/>
    </row>
    <row r="12" spans="2:9" ht="15.75" x14ac:dyDescent="0.2">
      <c r="B12" s="416" t="s">
        <v>426</v>
      </c>
      <c r="C12" s="414"/>
      <c r="D12" s="414"/>
      <c r="E12" s="414"/>
      <c r="F12" s="414"/>
      <c r="G12" s="414"/>
      <c r="H12" s="414"/>
      <c r="I12" s="414"/>
    </row>
    <row r="13" spans="2:9" ht="15.75" x14ac:dyDescent="0.2">
      <c r="B13" s="414"/>
      <c r="C13" s="414"/>
      <c r="D13" s="414"/>
      <c r="E13" s="417" t="s">
        <v>427</v>
      </c>
      <c r="F13" s="414"/>
      <c r="G13" s="417" t="s">
        <v>428</v>
      </c>
      <c r="H13" s="414"/>
      <c r="I13" s="414"/>
    </row>
    <row r="14" spans="2:9" ht="15.75" x14ac:dyDescent="0.2">
      <c r="B14" s="414"/>
      <c r="C14" s="414"/>
      <c r="D14" s="414"/>
      <c r="E14" s="418">
        <f>inputPrYr!C6-1</f>
        <v>2023</v>
      </c>
      <c r="F14" s="414"/>
      <c r="G14" s="418">
        <f>inputPrYr!C6</f>
        <v>2024</v>
      </c>
      <c r="H14" s="414"/>
      <c r="I14" s="414"/>
    </row>
    <row r="15" spans="2:9" ht="15.75" x14ac:dyDescent="0.2">
      <c r="B15" s="415" t="s">
        <v>485</v>
      </c>
      <c r="C15" s="414"/>
      <c r="D15" s="414"/>
      <c r="E15" s="419">
        <f>'DebtSvs-Library'!D47</f>
        <v>92374</v>
      </c>
      <c r="F15" s="414"/>
      <c r="G15" s="419">
        <f>'DebtSvs-Library'!E80</f>
        <v>95503</v>
      </c>
      <c r="H15" s="414"/>
      <c r="I15" s="414"/>
    </row>
    <row r="16" spans="2:9" ht="15.75" x14ac:dyDescent="0.2">
      <c r="B16" s="415" t="s">
        <v>61</v>
      </c>
      <c r="C16" s="414"/>
      <c r="D16" s="414"/>
      <c r="E16" s="419">
        <f>'DebtSvs-Library'!D48</f>
        <v>1000</v>
      </c>
      <c r="F16" s="414"/>
      <c r="G16" s="419">
        <f>'DebtSvs-Library'!E48</f>
        <v>0</v>
      </c>
      <c r="H16" s="414"/>
      <c r="I16" s="414"/>
    </row>
    <row r="17" spans="2:9" ht="15.75" x14ac:dyDescent="0.2">
      <c r="B17" s="415" t="s">
        <v>62</v>
      </c>
      <c r="C17" s="414"/>
      <c r="D17" s="414"/>
      <c r="E17" s="419">
        <f>'DebtSvs-Library'!D49</f>
        <v>7908</v>
      </c>
      <c r="F17" s="414"/>
      <c r="G17" s="419">
        <f>'DebtSvs-Library'!E49</f>
        <v>7754</v>
      </c>
      <c r="H17" s="414"/>
      <c r="I17" s="414"/>
    </row>
    <row r="18" spans="2:9" ht="15.75" x14ac:dyDescent="0.2">
      <c r="B18" s="415" t="s">
        <v>486</v>
      </c>
      <c r="C18" s="414"/>
      <c r="D18" s="414"/>
      <c r="E18" s="419">
        <f>'DebtSvs-Library'!D50</f>
        <v>167</v>
      </c>
      <c r="F18" s="414"/>
      <c r="G18" s="419">
        <f>'DebtSvs-Library'!E50</f>
        <v>169</v>
      </c>
      <c r="H18" s="414"/>
      <c r="I18" s="414"/>
    </row>
    <row r="19" spans="2:9" ht="15.75" x14ac:dyDescent="0.2">
      <c r="B19" s="415" t="s">
        <v>487</v>
      </c>
      <c r="C19" s="414"/>
      <c r="D19" s="414"/>
      <c r="E19" s="419">
        <f>'DebtSvs-Library'!D51</f>
        <v>19</v>
      </c>
      <c r="F19" s="414"/>
      <c r="G19" s="419">
        <f>'DebtSvs-Library'!E51</f>
        <v>63</v>
      </c>
      <c r="H19" s="414"/>
      <c r="I19" s="414"/>
    </row>
    <row r="20" spans="2:9" ht="15.75" x14ac:dyDescent="0.2">
      <c r="B20" s="414" t="s">
        <v>161</v>
      </c>
      <c r="C20" s="414"/>
      <c r="D20" s="414"/>
      <c r="E20" s="419">
        <v>0</v>
      </c>
      <c r="F20" s="414"/>
      <c r="G20" s="419">
        <v>0</v>
      </c>
      <c r="H20" s="414"/>
      <c r="I20" s="414"/>
    </row>
    <row r="21" spans="2:9" ht="15.75" x14ac:dyDescent="0.2">
      <c r="B21" s="414"/>
      <c r="C21" s="414"/>
      <c r="D21" s="414"/>
      <c r="E21" s="419">
        <v>0</v>
      </c>
      <c r="F21" s="414"/>
      <c r="G21" s="419">
        <v>0</v>
      </c>
      <c r="H21" s="414"/>
      <c r="I21" s="414"/>
    </row>
    <row r="22" spans="2:9" ht="15.75" x14ac:dyDescent="0.2">
      <c r="B22" s="414" t="s">
        <v>429</v>
      </c>
      <c r="C22" s="414"/>
      <c r="D22" s="414"/>
      <c r="E22" s="420">
        <f>SUM(E15:E21)</f>
        <v>101468</v>
      </c>
      <c r="F22" s="414"/>
      <c r="G22" s="420">
        <f>SUM(G15:G21)</f>
        <v>103489</v>
      </c>
      <c r="H22" s="414"/>
      <c r="I22" s="414"/>
    </row>
    <row r="23" spans="2:9" ht="15.75" x14ac:dyDescent="0.2">
      <c r="B23" s="414" t="s">
        <v>430</v>
      </c>
      <c r="C23" s="414"/>
      <c r="D23" s="414"/>
      <c r="E23" s="441">
        <f>G22-E22</f>
        <v>2021</v>
      </c>
      <c r="F23" s="414"/>
      <c r="G23" s="419"/>
      <c r="H23" s="414"/>
      <c r="I23" s="414"/>
    </row>
    <row r="24" spans="2:9" ht="15.75" x14ac:dyDescent="0.2">
      <c r="B24" s="414" t="s">
        <v>431</v>
      </c>
      <c r="C24" s="414"/>
      <c r="D24" s="421" t="str">
        <f>IF((G22-E22)&gt;=0,"Qualify","Not Qualify")</f>
        <v>Qualify</v>
      </c>
      <c r="E24" s="414"/>
      <c r="F24" s="414"/>
      <c r="G24" s="414"/>
      <c r="H24" s="414"/>
      <c r="I24" s="414"/>
    </row>
    <row r="25" spans="2:9" ht="15.75" x14ac:dyDescent="0.2">
      <c r="B25" s="414"/>
      <c r="C25" s="414"/>
      <c r="D25" s="414"/>
      <c r="E25" s="414"/>
      <c r="F25" s="414"/>
      <c r="G25" s="414"/>
      <c r="H25" s="414"/>
      <c r="I25" s="414"/>
    </row>
    <row r="26" spans="2:9" ht="15.75" x14ac:dyDescent="0.2">
      <c r="B26" s="416" t="s">
        <v>432</v>
      </c>
      <c r="C26" s="414"/>
      <c r="D26" s="414"/>
      <c r="E26" s="414"/>
      <c r="F26" s="414"/>
      <c r="G26" s="414"/>
      <c r="H26" s="414"/>
      <c r="I26" s="414"/>
    </row>
    <row r="27" spans="2:9" ht="15.75" x14ac:dyDescent="0.2">
      <c r="B27" s="414" t="s">
        <v>433</v>
      </c>
      <c r="C27" s="414"/>
      <c r="D27" s="414"/>
      <c r="E27" s="419">
        <f>'Summary Budget Hearing Notice'!D58</f>
        <v>19345400</v>
      </c>
      <c r="F27" s="414"/>
      <c r="G27" s="419">
        <f>'Summary Budget Hearing Notice'!F58</f>
        <v>20856018</v>
      </c>
      <c r="H27" s="414"/>
      <c r="I27" s="414"/>
    </row>
    <row r="28" spans="2:9" ht="15.75" x14ac:dyDescent="0.2">
      <c r="B28" s="414" t="s">
        <v>434</v>
      </c>
      <c r="C28" s="414"/>
      <c r="D28" s="414"/>
      <c r="E28" s="422" t="str">
        <f>IF(G27-E27&gt;=0,"No","Yes")</f>
        <v>No</v>
      </c>
      <c r="F28" s="414"/>
      <c r="G28" s="414"/>
      <c r="H28" s="414"/>
      <c r="I28" s="414"/>
    </row>
    <row r="29" spans="2:9" ht="15.75" x14ac:dyDescent="0.2">
      <c r="B29" s="414" t="s">
        <v>435</v>
      </c>
      <c r="C29" s="414"/>
      <c r="D29" s="414"/>
      <c r="E29" s="417">
        <f>'Summary Budget Hearing Notice'!E17</f>
        <v>4.7750000000000004</v>
      </c>
      <c r="F29" s="414"/>
      <c r="G29" s="423">
        <f>'Summary Budget Hearing Notice'!H17</f>
        <v>4.5789999999999997</v>
      </c>
      <c r="H29" s="414"/>
      <c r="I29" s="414"/>
    </row>
    <row r="30" spans="2:9" ht="15.75" x14ac:dyDescent="0.2">
      <c r="B30" s="414" t="s">
        <v>436</v>
      </c>
      <c r="C30" s="414"/>
      <c r="D30" s="414"/>
      <c r="E30" s="424">
        <f>G29-E29</f>
        <v>-0.19600000000000062</v>
      </c>
      <c r="F30" s="414"/>
      <c r="G30" s="414"/>
      <c r="H30" s="414"/>
      <c r="I30" s="414"/>
    </row>
    <row r="31" spans="2:9" ht="15.75" x14ac:dyDescent="0.2">
      <c r="B31" s="414" t="s">
        <v>431</v>
      </c>
      <c r="C31" s="414"/>
      <c r="D31" s="425" t="str">
        <f>IF(E30&gt;=0,"Qualify","Not Qualify")</f>
        <v>Not Qualify</v>
      </c>
      <c r="E31" s="414"/>
      <c r="F31" s="414"/>
      <c r="G31" s="414"/>
      <c r="H31" s="414"/>
      <c r="I31" s="414"/>
    </row>
    <row r="32" spans="2:9" ht="15.75" x14ac:dyDescent="0.2">
      <c r="B32" s="414"/>
      <c r="C32" s="414"/>
      <c r="D32" s="414"/>
      <c r="E32" s="414"/>
      <c r="F32" s="414"/>
      <c r="G32" s="414"/>
      <c r="H32" s="414"/>
      <c r="I32" s="414"/>
    </row>
    <row r="33" spans="2:9" ht="15.75" x14ac:dyDescent="0.2">
      <c r="B33" s="414" t="s">
        <v>437</v>
      </c>
      <c r="C33" s="414"/>
      <c r="D33" s="414"/>
      <c r="E33" s="414"/>
      <c r="F33" s="426" t="str">
        <f>IF(D24="Not Qualify",IF(D31="Not Qualify",IF(D31="Not Qualify","Not Qualify","Qualify"),"Qualify"),"Qualify")</f>
        <v>Qualify</v>
      </c>
      <c r="G33" s="414"/>
      <c r="H33" s="414"/>
      <c r="I33" s="414"/>
    </row>
    <row r="34" spans="2:9" ht="15.75" x14ac:dyDescent="0.2">
      <c r="B34" s="414"/>
      <c r="C34" s="414"/>
      <c r="D34" s="414"/>
      <c r="E34" s="414"/>
      <c r="F34" s="414"/>
      <c r="G34" s="414"/>
      <c r="H34" s="414"/>
      <c r="I34" s="414"/>
    </row>
    <row r="35" spans="2:9" ht="15.75" x14ac:dyDescent="0.2">
      <c r="B35" s="414"/>
      <c r="C35" s="414"/>
      <c r="D35" s="414"/>
      <c r="E35" s="414"/>
      <c r="F35" s="414"/>
      <c r="G35" s="414"/>
      <c r="H35" s="414"/>
      <c r="I35" s="414"/>
    </row>
    <row r="36" spans="2:9" ht="37.5" customHeight="1" x14ac:dyDescent="0.2">
      <c r="B36" s="691" t="s">
        <v>438</v>
      </c>
      <c r="C36" s="691"/>
      <c r="D36" s="691"/>
      <c r="E36" s="691"/>
      <c r="F36" s="691"/>
      <c r="G36" s="691"/>
      <c r="H36" s="691"/>
      <c r="I36" s="691"/>
    </row>
    <row r="37" spans="2:9" ht="15.75" x14ac:dyDescent="0.2">
      <c r="B37" s="414"/>
      <c r="C37" s="414"/>
      <c r="D37" s="414"/>
      <c r="E37" s="414"/>
      <c r="F37" s="414"/>
      <c r="G37" s="414"/>
      <c r="H37" s="414"/>
      <c r="I37" s="414"/>
    </row>
    <row r="38" spans="2:9" ht="15.75" x14ac:dyDescent="0.2">
      <c r="B38" s="414"/>
      <c r="C38" s="414"/>
      <c r="D38" s="414"/>
      <c r="E38" s="414"/>
      <c r="F38" s="414"/>
      <c r="G38" s="414"/>
      <c r="H38" s="414"/>
      <c r="I38" s="414"/>
    </row>
    <row r="39" spans="2:9" ht="15.75" x14ac:dyDescent="0.2">
      <c r="B39" s="414"/>
      <c r="C39" s="414"/>
      <c r="D39" s="414"/>
      <c r="E39" s="414"/>
      <c r="F39" s="414"/>
      <c r="G39" s="414"/>
      <c r="H39" s="414"/>
      <c r="I39" s="414"/>
    </row>
    <row r="40" spans="2:9" ht="15.75" x14ac:dyDescent="0.2">
      <c r="B40" s="414"/>
      <c r="C40" s="414"/>
      <c r="D40" s="414"/>
      <c r="E40" s="427" t="s">
        <v>70</v>
      </c>
      <c r="F40" s="428">
        <v>7</v>
      </c>
      <c r="G40" s="414"/>
      <c r="H40" s="414"/>
      <c r="I40" s="414"/>
    </row>
    <row r="41" spans="2:9" ht="15.75" x14ac:dyDescent="0.2">
      <c r="B41" s="414"/>
      <c r="C41" s="414"/>
      <c r="D41" s="414"/>
      <c r="E41" s="414"/>
      <c r="F41" s="414"/>
      <c r="G41" s="414"/>
      <c r="H41" s="414"/>
      <c r="I41" s="414"/>
    </row>
    <row r="42" spans="2:9" ht="15.75" x14ac:dyDescent="0.2">
      <c r="B42" s="414"/>
      <c r="C42" s="414"/>
      <c r="D42" s="414"/>
      <c r="E42" s="414"/>
      <c r="F42" s="414"/>
      <c r="G42" s="414"/>
      <c r="H42" s="414"/>
      <c r="I42" s="414"/>
    </row>
    <row r="43" spans="2:9" ht="15.75" x14ac:dyDescent="0.25">
      <c r="B43" s="687" t="s">
        <v>439</v>
      </c>
      <c r="C43" s="688"/>
      <c r="D43" s="688"/>
      <c r="E43" s="688"/>
      <c r="F43" s="688"/>
      <c r="G43" s="688"/>
      <c r="H43" s="688"/>
      <c r="I43" s="688"/>
    </row>
    <row r="44" spans="2:9" ht="15.75" x14ac:dyDescent="0.2">
      <c r="B44" s="414"/>
      <c r="C44" s="414"/>
      <c r="D44" s="414"/>
      <c r="E44" s="414"/>
      <c r="F44" s="414"/>
      <c r="G44" s="414"/>
      <c r="H44" s="414"/>
      <c r="I44" s="414"/>
    </row>
    <row r="45" spans="2:9" ht="15.75" x14ac:dyDescent="0.25">
      <c r="B45" s="429" t="s">
        <v>440</v>
      </c>
      <c r="C45" s="414"/>
      <c r="D45" s="414"/>
      <c r="E45" s="414"/>
      <c r="F45" s="414"/>
      <c r="G45" s="414"/>
      <c r="H45" s="414"/>
      <c r="I45" s="414"/>
    </row>
    <row r="46" spans="2:9" ht="15.75" x14ac:dyDescent="0.25">
      <c r="B46" s="429" t="str">
        <f>CONCATENATE("sources in your ",G14," library fund is not equal to or greater than the amount from the same")</f>
        <v>sources in your 2024 library fund is not equal to or greater than the amount from the same</v>
      </c>
      <c r="C46" s="414"/>
      <c r="D46" s="414"/>
      <c r="E46" s="414"/>
      <c r="F46" s="414"/>
      <c r="G46" s="414"/>
      <c r="H46" s="414"/>
      <c r="I46" s="414"/>
    </row>
    <row r="47" spans="2:9" ht="15.75" x14ac:dyDescent="0.25">
      <c r="B47" s="429" t="str">
        <f>CONCATENATE("sources in ",E14,".")</f>
        <v>sources in 2023.</v>
      </c>
      <c r="C47" s="412"/>
      <c r="D47" s="412"/>
      <c r="E47" s="412"/>
      <c r="F47" s="412"/>
      <c r="G47" s="412"/>
      <c r="H47" s="412"/>
      <c r="I47" s="412"/>
    </row>
    <row r="48" spans="2:9" ht="15.75" x14ac:dyDescent="0.25">
      <c r="B48" s="412"/>
      <c r="C48" s="412"/>
      <c r="D48" s="412"/>
      <c r="E48" s="412"/>
      <c r="F48" s="412"/>
      <c r="G48" s="412"/>
      <c r="H48" s="412"/>
      <c r="I48" s="412"/>
    </row>
    <row r="49" spans="2:9" ht="15.75" x14ac:dyDescent="0.25">
      <c r="B49" s="429" t="s">
        <v>441</v>
      </c>
      <c r="C49" s="429"/>
      <c r="D49" s="430"/>
      <c r="E49" s="430"/>
      <c r="F49" s="430"/>
      <c r="G49" s="430"/>
      <c r="H49" s="430"/>
      <c r="I49" s="430"/>
    </row>
    <row r="50" spans="2:9" ht="15.75" x14ac:dyDescent="0.25">
      <c r="B50" s="429" t="s">
        <v>442</v>
      </c>
      <c r="C50" s="429"/>
      <c r="D50" s="430"/>
      <c r="E50" s="430"/>
      <c r="F50" s="430"/>
      <c r="G50" s="430"/>
      <c r="H50" s="430"/>
      <c r="I50" s="430"/>
    </row>
    <row r="51" spans="2:9" ht="15.75" x14ac:dyDescent="0.25">
      <c r="B51" s="429" t="s">
        <v>443</v>
      </c>
      <c r="C51" s="429"/>
      <c r="D51" s="430"/>
      <c r="E51" s="430"/>
      <c r="F51" s="430"/>
      <c r="G51" s="430"/>
      <c r="H51" s="430"/>
      <c r="I51" s="430"/>
    </row>
    <row r="52" spans="2:9" x14ac:dyDescent="0.2">
      <c r="B52" s="430"/>
      <c r="C52" s="430"/>
      <c r="D52" s="430"/>
      <c r="E52" s="430"/>
      <c r="F52" s="430"/>
      <c r="G52" s="430"/>
      <c r="H52" s="430"/>
      <c r="I52" s="430"/>
    </row>
    <row r="53" spans="2:9" ht="15.75" x14ac:dyDescent="0.25">
      <c r="B53" s="431" t="s">
        <v>444</v>
      </c>
      <c r="C53" s="430"/>
      <c r="D53" s="430"/>
      <c r="E53" s="430"/>
      <c r="F53" s="430"/>
      <c r="G53" s="430"/>
      <c r="H53" s="430"/>
      <c r="I53" s="430"/>
    </row>
    <row r="54" spans="2:9" x14ac:dyDescent="0.2">
      <c r="B54" s="430"/>
      <c r="C54" s="430"/>
      <c r="D54" s="430"/>
      <c r="E54" s="430"/>
      <c r="F54" s="430"/>
      <c r="G54" s="430"/>
      <c r="H54" s="430"/>
      <c r="I54" s="430"/>
    </row>
    <row r="55" spans="2:9" ht="15.75" x14ac:dyDescent="0.25">
      <c r="B55" s="429" t="s">
        <v>445</v>
      </c>
      <c r="C55" s="430"/>
      <c r="D55" s="430"/>
      <c r="E55" s="430"/>
      <c r="F55" s="430"/>
      <c r="G55" s="430"/>
      <c r="H55" s="430"/>
      <c r="I55" s="430"/>
    </row>
    <row r="56" spans="2:9" ht="15.75" x14ac:dyDescent="0.25">
      <c r="B56" s="429" t="s">
        <v>446</v>
      </c>
      <c r="C56" s="430"/>
      <c r="D56" s="430"/>
      <c r="E56" s="430"/>
      <c r="F56" s="430"/>
      <c r="G56" s="430"/>
      <c r="H56" s="430"/>
      <c r="I56" s="430"/>
    </row>
    <row r="57" spans="2:9" x14ac:dyDescent="0.2">
      <c r="B57" s="430"/>
      <c r="C57" s="430"/>
      <c r="D57" s="430"/>
      <c r="E57" s="430"/>
      <c r="F57" s="430"/>
      <c r="G57" s="430"/>
      <c r="H57" s="430"/>
      <c r="I57" s="430"/>
    </row>
    <row r="58" spans="2:9" ht="15.75" x14ac:dyDescent="0.25">
      <c r="B58" s="431" t="s">
        <v>447</v>
      </c>
      <c r="C58" s="429"/>
      <c r="D58" s="429"/>
      <c r="E58" s="429"/>
      <c r="F58" s="429"/>
      <c r="G58" s="430"/>
      <c r="H58" s="430"/>
      <c r="I58" s="430"/>
    </row>
    <row r="59" spans="2:9" ht="15.75" x14ac:dyDescent="0.25">
      <c r="B59" s="429"/>
      <c r="C59" s="429"/>
      <c r="D59" s="429"/>
      <c r="E59" s="429"/>
      <c r="F59" s="429"/>
      <c r="G59" s="430"/>
      <c r="H59" s="430"/>
      <c r="I59" s="430"/>
    </row>
    <row r="60" spans="2:9" ht="15.75" x14ac:dyDescent="0.25">
      <c r="B60" s="429" t="s">
        <v>448</v>
      </c>
      <c r="C60" s="429"/>
      <c r="D60" s="429"/>
      <c r="E60" s="429"/>
      <c r="F60" s="429"/>
      <c r="G60" s="430"/>
      <c r="H60" s="430"/>
      <c r="I60" s="430"/>
    </row>
    <row r="61" spans="2:9" ht="15.75" x14ac:dyDescent="0.25">
      <c r="B61" s="429" t="s">
        <v>449</v>
      </c>
      <c r="C61" s="429"/>
      <c r="D61" s="429"/>
      <c r="E61" s="429"/>
      <c r="F61" s="429"/>
      <c r="G61" s="430"/>
      <c r="H61" s="430"/>
      <c r="I61" s="430"/>
    </row>
    <row r="62" spans="2:9" ht="15.75" x14ac:dyDescent="0.25">
      <c r="B62" s="429" t="s">
        <v>450</v>
      </c>
      <c r="C62" s="429"/>
      <c r="D62" s="429"/>
      <c r="E62" s="429"/>
      <c r="F62" s="429"/>
      <c r="G62" s="430"/>
      <c r="H62" s="430"/>
      <c r="I62" s="430"/>
    </row>
    <row r="63" spans="2:9" ht="15.75" x14ac:dyDescent="0.25">
      <c r="B63" s="429" t="s">
        <v>451</v>
      </c>
      <c r="C63" s="429"/>
      <c r="D63" s="429"/>
      <c r="E63" s="429"/>
      <c r="F63" s="429"/>
      <c r="G63" s="430"/>
      <c r="H63" s="430"/>
      <c r="I63" s="430"/>
    </row>
    <row r="64" spans="2:9" x14ac:dyDescent="0.2">
      <c r="B64" s="432"/>
      <c r="C64" s="432"/>
      <c r="D64" s="432"/>
      <c r="E64" s="432"/>
      <c r="F64" s="432"/>
      <c r="G64" s="430"/>
      <c r="H64" s="430"/>
      <c r="I64" s="430"/>
    </row>
    <row r="65" spans="2:9" ht="15.75" x14ac:dyDescent="0.25">
      <c r="B65" s="429" t="s">
        <v>452</v>
      </c>
      <c r="C65" s="432"/>
      <c r="D65" s="432"/>
      <c r="E65" s="432"/>
      <c r="F65" s="432"/>
      <c r="G65" s="430"/>
      <c r="H65" s="430"/>
      <c r="I65" s="430"/>
    </row>
    <row r="66" spans="2:9" ht="15.75" x14ac:dyDescent="0.25">
      <c r="B66" s="429" t="s">
        <v>453</v>
      </c>
      <c r="C66" s="432"/>
      <c r="D66" s="432"/>
      <c r="E66" s="432"/>
      <c r="F66" s="432"/>
      <c r="G66" s="430"/>
      <c r="H66" s="430"/>
      <c r="I66" s="430"/>
    </row>
    <row r="67" spans="2:9" x14ac:dyDescent="0.2">
      <c r="B67" s="432"/>
      <c r="C67" s="432"/>
      <c r="D67" s="432"/>
      <c r="E67" s="432"/>
      <c r="F67" s="432"/>
      <c r="G67" s="430"/>
      <c r="H67" s="430"/>
      <c r="I67" s="430"/>
    </row>
    <row r="68" spans="2:9" ht="15.75" x14ac:dyDescent="0.25">
      <c r="B68" s="429" t="s">
        <v>454</v>
      </c>
      <c r="C68" s="432"/>
      <c r="D68" s="432"/>
      <c r="E68" s="432"/>
      <c r="F68" s="432"/>
      <c r="G68" s="430"/>
      <c r="H68" s="430"/>
      <c r="I68" s="430"/>
    </row>
    <row r="69" spans="2:9" ht="15.75" x14ac:dyDescent="0.25">
      <c r="B69" s="429" t="s">
        <v>455</v>
      </c>
      <c r="C69" s="432"/>
      <c r="D69" s="432"/>
      <c r="E69" s="432"/>
      <c r="F69" s="432"/>
      <c r="G69" s="430"/>
      <c r="H69" s="430"/>
      <c r="I69" s="430"/>
    </row>
    <row r="70" spans="2:9" x14ac:dyDescent="0.2">
      <c r="B70" s="432"/>
      <c r="C70" s="432"/>
      <c r="D70" s="432"/>
      <c r="E70" s="432"/>
      <c r="F70" s="432"/>
      <c r="G70" s="430"/>
      <c r="H70" s="430"/>
      <c r="I70" s="430"/>
    </row>
    <row r="71" spans="2:9" ht="15.75" x14ac:dyDescent="0.25">
      <c r="B71" s="431" t="s">
        <v>456</v>
      </c>
      <c r="C71" s="432"/>
      <c r="D71" s="432"/>
      <c r="E71" s="432"/>
      <c r="F71" s="432"/>
      <c r="G71" s="430"/>
      <c r="H71" s="430"/>
      <c r="I71" s="430"/>
    </row>
    <row r="72" spans="2:9" x14ac:dyDescent="0.2">
      <c r="B72" s="432"/>
      <c r="C72" s="432"/>
      <c r="D72" s="432"/>
      <c r="E72" s="432"/>
      <c r="F72" s="432"/>
      <c r="G72" s="430"/>
      <c r="H72" s="430"/>
      <c r="I72" s="430"/>
    </row>
    <row r="73" spans="2:9" ht="15.75" x14ac:dyDescent="0.25">
      <c r="B73" s="429" t="s">
        <v>457</v>
      </c>
      <c r="C73" s="432"/>
      <c r="D73" s="432"/>
      <c r="E73" s="432"/>
      <c r="F73" s="432"/>
      <c r="G73" s="430"/>
      <c r="H73" s="430"/>
      <c r="I73" s="430"/>
    </row>
    <row r="74" spans="2:9" ht="15.75" x14ac:dyDescent="0.25">
      <c r="B74" s="429" t="s">
        <v>458</v>
      </c>
      <c r="C74" s="432"/>
      <c r="D74" s="432"/>
      <c r="E74" s="432"/>
      <c r="F74" s="432"/>
      <c r="G74" s="430"/>
      <c r="H74" s="430"/>
      <c r="I74" s="430"/>
    </row>
    <row r="75" spans="2:9" x14ac:dyDescent="0.2">
      <c r="B75" s="432"/>
      <c r="C75" s="432"/>
      <c r="D75" s="432"/>
      <c r="E75" s="432"/>
      <c r="F75" s="432"/>
      <c r="G75" s="430"/>
      <c r="H75" s="430"/>
      <c r="I75" s="430"/>
    </row>
    <row r="76" spans="2:9" ht="15.75" x14ac:dyDescent="0.25">
      <c r="B76" s="431" t="s">
        <v>459</v>
      </c>
      <c r="C76" s="432"/>
      <c r="D76" s="432"/>
      <c r="E76" s="432"/>
      <c r="F76" s="432"/>
      <c r="G76" s="430"/>
      <c r="H76" s="430"/>
      <c r="I76" s="430"/>
    </row>
    <row r="77" spans="2:9" x14ac:dyDescent="0.2">
      <c r="B77" s="432"/>
      <c r="C77" s="432"/>
      <c r="D77" s="432"/>
      <c r="E77" s="432"/>
      <c r="F77" s="432"/>
      <c r="G77" s="430"/>
      <c r="H77" s="430"/>
      <c r="I77" s="430"/>
    </row>
    <row r="78" spans="2:9" ht="15.75" x14ac:dyDescent="0.25">
      <c r="B78" s="429" t="str">
        <f>CONCATENATE("If the ",G14," municipal budget has not been published and has not been submitted to the County")</f>
        <v>If the 2024 municipal budget has not been published and has not been submitted to the County</v>
      </c>
      <c r="C78" s="432"/>
      <c r="D78" s="432"/>
      <c r="E78" s="432"/>
      <c r="F78" s="432"/>
      <c r="G78" s="430"/>
      <c r="H78" s="430"/>
      <c r="I78" s="430"/>
    </row>
    <row r="79" spans="2:9" ht="15.75" x14ac:dyDescent="0.25">
      <c r="B79" s="429" t="s">
        <v>460</v>
      </c>
      <c r="C79" s="432"/>
      <c r="D79" s="432"/>
      <c r="E79" s="432"/>
      <c r="F79" s="432"/>
      <c r="G79" s="430"/>
      <c r="H79" s="430"/>
      <c r="I79" s="430"/>
    </row>
    <row r="80" spans="2:9" x14ac:dyDescent="0.2">
      <c r="B80" s="432"/>
      <c r="C80" s="432"/>
      <c r="D80" s="432"/>
      <c r="E80" s="432"/>
      <c r="F80" s="432"/>
      <c r="G80" s="430"/>
      <c r="H80" s="430"/>
      <c r="I80" s="430"/>
    </row>
    <row r="81" spans="2:9" ht="15.75" x14ac:dyDescent="0.25">
      <c r="B81" s="431" t="s">
        <v>289</v>
      </c>
      <c r="C81" s="432"/>
      <c r="D81" s="432"/>
      <c r="E81" s="432"/>
      <c r="F81" s="432"/>
      <c r="G81" s="430"/>
      <c r="H81" s="430"/>
      <c r="I81" s="430"/>
    </row>
    <row r="82" spans="2:9" x14ac:dyDescent="0.2">
      <c r="B82" s="432"/>
      <c r="C82" s="432"/>
      <c r="D82" s="432"/>
      <c r="E82" s="432"/>
      <c r="F82" s="432"/>
      <c r="G82" s="430"/>
      <c r="H82" s="430"/>
      <c r="I82" s="430"/>
    </row>
    <row r="83" spans="2:9" ht="15.75" x14ac:dyDescent="0.25">
      <c r="B83" s="429" t="s">
        <v>461</v>
      </c>
      <c r="C83" s="432"/>
      <c r="D83" s="432"/>
      <c r="E83" s="432"/>
      <c r="F83" s="432"/>
      <c r="G83" s="430"/>
      <c r="H83" s="430"/>
      <c r="I83" s="430"/>
    </row>
    <row r="84" spans="2:9" ht="15.75" x14ac:dyDescent="0.25">
      <c r="B84" s="429" t="str">
        <f>CONCATENATE("Budget Year ",G14," is equal to or greater than that for Current Year Estimate ",E14,".")</f>
        <v>Budget Year 2024 is equal to or greater than that for Current Year Estimate 2023.</v>
      </c>
      <c r="C84" s="432"/>
      <c r="D84" s="432"/>
      <c r="E84" s="432"/>
      <c r="F84" s="432"/>
      <c r="G84" s="430"/>
      <c r="H84" s="430"/>
      <c r="I84" s="430"/>
    </row>
    <row r="85" spans="2:9" x14ac:dyDescent="0.2">
      <c r="B85" s="432"/>
      <c r="C85" s="432"/>
      <c r="D85" s="432"/>
      <c r="E85" s="432"/>
      <c r="F85" s="432"/>
      <c r="G85" s="430"/>
      <c r="H85" s="430"/>
      <c r="I85" s="430"/>
    </row>
    <row r="86" spans="2:9" ht="15.75" x14ac:dyDescent="0.25">
      <c r="B86" s="429" t="s">
        <v>462</v>
      </c>
      <c r="C86" s="432"/>
      <c r="D86" s="432"/>
      <c r="E86" s="432"/>
      <c r="F86" s="432"/>
      <c r="G86" s="430"/>
      <c r="H86" s="430"/>
      <c r="I86" s="430"/>
    </row>
    <row r="87" spans="2:9" ht="15.75" x14ac:dyDescent="0.25">
      <c r="B87" s="429" t="s">
        <v>463</v>
      </c>
      <c r="C87" s="432"/>
      <c r="D87" s="432"/>
      <c r="E87" s="432"/>
      <c r="F87" s="432"/>
      <c r="G87" s="430"/>
      <c r="H87" s="430"/>
      <c r="I87" s="430"/>
    </row>
    <row r="88" spans="2:9" ht="15.75" x14ac:dyDescent="0.25">
      <c r="B88" s="429" t="s">
        <v>464</v>
      </c>
      <c r="C88" s="432"/>
      <c r="D88" s="432"/>
      <c r="E88" s="432"/>
      <c r="F88" s="432"/>
      <c r="G88" s="430"/>
      <c r="H88" s="430"/>
      <c r="I88" s="430"/>
    </row>
    <row r="89" spans="2:9" ht="15.75" x14ac:dyDescent="0.25">
      <c r="B89" s="429" t="str">
        <f>CONCATENATE("purpose for the previous (",E14,") year.")</f>
        <v>purpose for the previous (2023) year.</v>
      </c>
      <c r="C89" s="432"/>
      <c r="D89" s="432"/>
      <c r="E89" s="432"/>
      <c r="F89" s="432"/>
      <c r="G89" s="430"/>
      <c r="H89" s="430"/>
      <c r="I89" s="430"/>
    </row>
    <row r="90" spans="2:9" x14ac:dyDescent="0.2">
      <c r="B90" s="432"/>
      <c r="C90" s="432"/>
      <c r="D90" s="432"/>
      <c r="E90" s="432"/>
      <c r="F90" s="432"/>
      <c r="G90" s="430"/>
      <c r="H90" s="430"/>
      <c r="I90" s="430"/>
    </row>
    <row r="91" spans="2:9" ht="15.75" x14ac:dyDescent="0.25">
      <c r="B91" s="429" t="str">
        <f>CONCATENATE("Next, look to see if delinquent tax for ",G14," is budgeted. Often this line is budgeted at $0 or left")</f>
        <v>Next, look to see if delinquent tax for 2024 is budgeted. Often this line is budgeted at $0 or left</v>
      </c>
      <c r="C91" s="432"/>
      <c r="D91" s="432"/>
      <c r="E91" s="432"/>
      <c r="F91" s="432"/>
      <c r="G91" s="430"/>
      <c r="H91" s="430"/>
      <c r="I91" s="430"/>
    </row>
    <row r="92" spans="2:9" ht="15.75" x14ac:dyDescent="0.25">
      <c r="B92" s="429" t="s">
        <v>465</v>
      </c>
      <c r="C92" s="432"/>
      <c r="D92" s="432"/>
      <c r="E92" s="432"/>
      <c r="F92" s="432"/>
      <c r="G92" s="430"/>
      <c r="H92" s="430"/>
      <c r="I92" s="430"/>
    </row>
    <row r="93" spans="2:9" ht="15.75" x14ac:dyDescent="0.25">
      <c r="B93" s="429" t="s">
        <v>466</v>
      </c>
      <c r="C93" s="432"/>
      <c r="D93" s="432"/>
      <c r="E93" s="432"/>
      <c r="F93" s="432"/>
      <c r="G93" s="430"/>
      <c r="H93" s="430"/>
      <c r="I93" s="430"/>
    </row>
    <row r="94" spans="2:9" ht="15.75" x14ac:dyDescent="0.25">
      <c r="B94" s="429" t="s">
        <v>467</v>
      </c>
      <c r="C94" s="432"/>
      <c r="D94" s="432"/>
      <c r="E94" s="432"/>
      <c r="F94" s="432"/>
      <c r="G94" s="430"/>
      <c r="H94" s="430"/>
      <c r="I94" s="430"/>
    </row>
    <row r="95" spans="2:9" x14ac:dyDescent="0.2">
      <c r="B95" s="432"/>
      <c r="C95" s="432"/>
      <c r="D95" s="432"/>
      <c r="E95" s="432"/>
      <c r="F95" s="432"/>
      <c r="G95" s="430"/>
      <c r="H95" s="430"/>
      <c r="I95" s="430"/>
    </row>
    <row r="96" spans="2:9" ht="15.75" x14ac:dyDescent="0.25">
      <c r="B96" s="431" t="s">
        <v>468</v>
      </c>
      <c r="C96" s="432"/>
      <c r="D96" s="432"/>
      <c r="E96" s="432"/>
      <c r="F96" s="432"/>
      <c r="G96" s="430"/>
      <c r="H96" s="430"/>
      <c r="I96" s="430"/>
    </row>
    <row r="97" spans="2:9" x14ac:dyDescent="0.2">
      <c r="B97" s="432"/>
      <c r="C97" s="432"/>
      <c r="D97" s="432"/>
      <c r="E97" s="432"/>
      <c r="F97" s="432"/>
      <c r="G97" s="430"/>
      <c r="H97" s="430"/>
      <c r="I97" s="430"/>
    </row>
    <row r="98" spans="2:9" ht="15.75" x14ac:dyDescent="0.25">
      <c r="B98" s="429" t="s">
        <v>469</v>
      </c>
      <c r="C98" s="432"/>
      <c r="D98" s="432"/>
      <c r="E98" s="432"/>
      <c r="F98" s="432"/>
      <c r="G98" s="430"/>
      <c r="H98" s="430"/>
      <c r="I98" s="430"/>
    </row>
    <row r="99" spans="2:9" ht="15.75" x14ac:dyDescent="0.25">
      <c r="B99" s="429" t="s">
        <v>470</v>
      </c>
      <c r="C99" s="432"/>
      <c r="D99" s="432"/>
      <c r="E99" s="432"/>
      <c r="F99" s="432"/>
      <c r="G99" s="430"/>
      <c r="H99" s="430"/>
      <c r="I99" s="430"/>
    </row>
    <row r="100" spans="2:9" x14ac:dyDescent="0.2">
      <c r="B100" s="432"/>
      <c r="C100" s="432"/>
      <c r="D100" s="432"/>
      <c r="E100" s="432"/>
      <c r="F100" s="432"/>
      <c r="G100" s="430"/>
      <c r="H100" s="430"/>
      <c r="I100" s="430"/>
    </row>
    <row r="101" spans="2:9" ht="15.75" x14ac:dyDescent="0.25">
      <c r="B101" s="429" t="s">
        <v>471</v>
      </c>
      <c r="C101" s="432"/>
      <c r="D101" s="432"/>
      <c r="E101" s="432"/>
      <c r="F101" s="432"/>
      <c r="G101" s="430"/>
      <c r="H101" s="430"/>
      <c r="I101" s="430"/>
    </row>
    <row r="102" spans="2:9" ht="15.75" x14ac:dyDescent="0.25">
      <c r="B102" s="429" t="s">
        <v>472</v>
      </c>
      <c r="C102" s="432"/>
      <c r="D102" s="432"/>
      <c r="E102" s="432"/>
      <c r="F102" s="432"/>
      <c r="G102" s="430"/>
      <c r="H102" s="430"/>
      <c r="I102" s="430"/>
    </row>
    <row r="103" spans="2:9" ht="15.75" x14ac:dyDescent="0.25">
      <c r="B103" s="429" t="s">
        <v>473</v>
      </c>
      <c r="C103" s="432"/>
      <c r="D103" s="432"/>
      <c r="E103" s="432"/>
      <c r="F103" s="432"/>
      <c r="G103" s="430"/>
      <c r="H103" s="430"/>
      <c r="I103" s="430"/>
    </row>
    <row r="104" spans="2:9" ht="15.75" x14ac:dyDescent="0.25">
      <c r="B104" s="429" t="s">
        <v>474</v>
      </c>
      <c r="C104" s="432"/>
      <c r="D104" s="432"/>
      <c r="E104" s="432"/>
      <c r="F104" s="432"/>
      <c r="G104" s="430"/>
      <c r="H104" s="430"/>
      <c r="I104" s="430"/>
    </row>
    <row r="105" spans="2:9" ht="15.75" x14ac:dyDescent="0.25">
      <c r="B105" s="452" t="s">
        <v>558</v>
      </c>
      <c r="C105" s="453"/>
      <c r="D105" s="453"/>
      <c r="E105" s="453"/>
      <c r="F105" s="453"/>
      <c r="G105" s="430"/>
      <c r="H105" s="430"/>
      <c r="I105" s="430"/>
    </row>
    <row r="108" spans="2:9" x14ac:dyDescent="0.2">
      <c r="G108" s="433"/>
    </row>
  </sheetData>
  <sheetProtection sheet="1"/>
  <mergeCells count="6">
    <mergeCell ref="B43:I43"/>
    <mergeCell ref="B2:I2"/>
    <mergeCell ref="B3:I3"/>
    <mergeCell ref="B5:I5"/>
    <mergeCell ref="B10:I10"/>
    <mergeCell ref="B36:I36"/>
  </mergeCells>
  <hyperlinks>
    <hyperlink ref="B105" r:id="rId1"/>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134"/>
  <sheetViews>
    <sheetView topLeftCell="A22" zoomScale="90" zoomScaleNormal="90" zoomScaleSheetLayoutView="100" workbookViewId="0">
      <selection activeCell="E32" sqref="E32"/>
    </sheetView>
  </sheetViews>
  <sheetFormatPr defaultColWidth="8.88671875" defaultRowHeight="15.75" x14ac:dyDescent="0.2"/>
  <cols>
    <col min="1" max="1" width="2.44140625" style="26" customWidth="1"/>
    <col min="2" max="2" width="31.109375" style="26" customWidth="1"/>
    <col min="3" max="4" width="15.77734375" style="26" customWidth="1"/>
    <col min="5" max="5" width="16.33203125" style="26" customWidth="1"/>
    <col min="6" max="6" width="6.88671875" style="26" customWidth="1"/>
    <col min="7" max="7" width="10.21875" style="26" customWidth="1"/>
    <col min="8" max="8" width="8.88671875" style="26" customWidth="1"/>
    <col min="9" max="9" width="5.5546875" style="26" customWidth="1"/>
    <col min="10" max="10" width="10" style="26" customWidth="1"/>
    <col min="11" max="16384" width="8.88671875" style="26"/>
  </cols>
  <sheetData>
    <row r="1" spans="2:5" x14ac:dyDescent="0.2">
      <c r="B1" s="47" t="str">
        <f>inputPrYr!D3</f>
        <v>Wellsville</v>
      </c>
      <c r="C1" s="28"/>
      <c r="D1" s="28"/>
      <c r="E1" s="80">
        <f>inputPrYr!C6</f>
        <v>2024</v>
      </c>
    </row>
    <row r="2" spans="2:5" x14ac:dyDescent="0.2">
      <c r="B2" s="28"/>
      <c r="C2" s="28"/>
      <c r="D2" s="28"/>
      <c r="E2" s="107"/>
    </row>
    <row r="3" spans="2:5" x14ac:dyDescent="0.2">
      <c r="B3" s="161"/>
      <c r="C3" s="28"/>
      <c r="D3" s="28"/>
      <c r="E3" s="80"/>
    </row>
    <row r="4" spans="2:5" x14ac:dyDescent="0.2">
      <c r="B4" s="260" t="s">
        <v>123</v>
      </c>
      <c r="C4" s="162"/>
      <c r="D4" s="162"/>
      <c r="E4" s="162"/>
    </row>
    <row r="5" spans="2:5" x14ac:dyDescent="0.2">
      <c r="B5" s="108" t="s">
        <v>59</v>
      </c>
      <c r="C5" s="442" t="s">
        <v>479</v>
      </c>
      <c r="D5" s="443" t="s">
        <v>480</v>
      </c>
      <c r="E5" s="87" t="s">
        <v>481</v>
      </c>
    </row>
    <row r="6" spans="2:5" x14ac:dyDescent="0.2">
      <c r="B6" s="332" t="str">
        <f>inputPrYr!B18</f>
        <v>General</v>
      </c>
      <c r="C6" s="138" t="str">
        <f>CONCATENATE("Actual for ",E1-2,"")</f>
        <v>Actual for 2022</v>
      </c>
      <c r="D6" s="138" t="str">
        <f>CONCATENATE("Estimate for ",E1-1,"")</f>
        <v>Estimate for 2023</v>
      </c>
      <c r="E6" s="122" t="str">
        <f>CONCATENATE("Year for ",E1,"")</f>
        <v>Year for 2024</v>
      </c>
    </row>
    <row r="7" spans="2:5" x14ac:dyDescent="0.2">
      <c r="B7" s="163" t="s">
        <v>137</v>
      </c>
      <c r="C7" s="164">
        <v>120922</v>
      </c>
      <c r="D7" s="166">
        <f>C109</f>
        <v>98723</v>
      </c>
      <c r="E7" s="141">
        <f>D109</f>
        <v>90027</v>
      </c>
    </row>
    <row r="8" spans="2:5" x14ac:dyDescent="0.2">
      <c r="B8" s="167" t="s">
        <v>139</v>
      </c>
      <c r="C8" s="102"/>
      <c r="D8" s="102"/>
      <c r="E8" s="52"/>
    </row>
    <row r="9" spans="2:5" x14ac:dyDescent="0.2">
      <c r="B9" s="163" t="s">
        <v>60</v>
      </c>
      <c r="C9" s="168">
        <v>653877</v>
      </c>
      <c r="D9" s="166">
        <f>IF(inputPrYr!H21&gt;0,inputPrYr!G22,inputPrYr!E18)</f>
        <v>771791</v>
      </c>
      <c r="E9" s="170" t="s">
        <v>49</v>
      </c>
    </row>
    <row r="10" spans="2:5" x14ac:dyDescent="0.2">
      <c r="B10" s="163" t="s">
        <v>61</v>
      </c>
      <c r="C10" s="168">
        <v>20301</v>
      </c>
      <c r="D10" s="168"/>
      <c r="E10" s="171"/>
    </row>
    <row r="11" spans="2:5" x14ac:dyDescent="0.2">
      <c r="B11" s="163" t="s">
        <v>62</v>
      </c>
      <c r="C11" s="168">
        <v>72314</v>
      </c>
      <c r="D11" s="168">
        <v>64770</v>
      </c>
      <c r="E11" s="141">
        <f>Mvalloc!D7</f>
        <v>64788</v>
      </c>
    </row>
    <row r="12" spans="2:5" x14ac:dyDescent="0.2">
      <c r="B12" s="163" t="s">
        <v>63</v>
      </c>
      <c r="C12" s="168">
        <v>1642</v>
      </c>
      <c r="D12" s="168">
        <v>1372</v>
      </c>
      <c r="E12" s="141">
        <f>Mvalloc!E7</f>
        <v>1413</v>
      </c>
    </row>
    <row r="13" spans="2:5" x14ac:dyDescent="0.2">
      <c r="B13" s="163" t="s">
        <v>130</v>
      </c>
      <c r="C13" s="168"/>
      <c r="D13" s="168">
        <v>160</v>
      </c>
      <c r="E13" s="141">
        <f>Mvalloc!F7</f>
        <v>524</v>
      </c>
    </row>
    <row r="14" spans="2:5" x14ac:dyDescent="0.2">
      <c r="B14" s="508" t="s">
        <v>528</v>
      </c>
      <c r="C14" s="168">
        <v>1971</v>
      </c>
      <c r="D14" s="168">
        <v>2332</v>
      </c>
      <c r="E14" s="141">
        <f>Mvalloc!G7</f>
        <v>1867</v>
      </c>
    </row>
    <row r="15" spans="2:5" x14ac:dyDescent="0.2">
      <c r="B15" s="508" t="s">
        <v>529</v>
      </c>
      <c r="C15" s="168"/>
      <c r="D15" s="168">
        <v>342</v>
      </c>
      <c r="E15" s="141">
        <f>Mvalloc!H7</f>
        <v>325</v>
      </c>
    </row>
    <row r="16" spans="2:5" x14ac:dyDescent="0.2">
      <c r="B16" s="163" t="s">
        <v>131</v>
      </c>
      <c r="C16" s="168"/>
      <c r="D16" s="168"/>
      <c r="E16" s="141">
        <f>inputOth!E17</f>
        <v>0</v>
      </c>
    </row>
    <row r="17" spans="2:5" x14ac:dyDescent="0.2">
      <c r="B17" s="163" t="s">
        <v>161</v>
      </c>
      <c r="C17" s="168"/>
      <c r="D17" s="168"/>
      <c r="E17" s="141">
        <f>inputOth!E47</f>
        <v>0</v>
      </c>
    </row>
    <row r="18" spans="2:5" x14ac:dyDescent="0.2">
      <c r="B18" s="163" t="s">
        <v>162</v>
      </c>
      <c r="C18" s="168"/>
      <c r="D18" s="168"/>
      <c r="E18" s="141">
        <f>inputOth!E48</f>
        <v>0</v>
      </c>
    </row>
    <row r="19" spans="2:5" x14ac:dyDescent="0.2">
      <c r="B19" s="164"/>
      <c r="C19" s="168"/>
      <c r="D19" s="168"/>
      <c r="E19" s="171"/>
    </row>
    <row r="20" spans="2:5" x14ac:dyDescent="0.2">
      <c r="B20" s="164" t="s">
        <v>66</v>
      </c>
      <c r="C20" s="168"/>
      <c r="D20" s="168"/>
      <c r="E20" s="171"/>
    </row>
    <row r="21" spans="2:5" x14ac:dyDescent="0.2">
      <c r="B21" s="164" t="s">
        <v>64</v>
      </c>
      <c r="C21" s="168">
        <v>3329</v>
      </c>
      <c r="D21" s="168"/>
      <c r="E21" s="171">
        <v>3600</v>
      </c>
    </row>
    <row r="22" spans="2:5" x14ac:dyDescent="0.2">
      <c r="B22" s="631" t="s">
        <v>346</v>
      </c>
      <c r="C22" s="168">
        <v>276725</v>
      </c>
      <c r="D22" s="171">
        <v>300000</v>
      </c>
      <c r="E22" s="171">
        <v>300000</v>
      </c>
    </row>
    <row r="23" spans="2:5" x14ac:dyDescent="0.2">
      <c r="B23" s="631" t="s">
        <v>347</v>
      </c>
      <c r="C23" s="168">
        <v>49911</v>
      </c>
      <c r="D23" s="171">
        <v>51000</v>
      </c>
      <c r="E23" s="171">
        <v>35000</v>
      </c>
    </row>
    <row r="24" spans="2:5" x14ac:dyDescent="0.2">
      <c r="B24" s="631" t="s">
        <v>348</v>
      </c>
      <c r="C24" s="168">
        <v>4154</v>
      </c>
      <c r="D24" s="171">
        <v>2000</v>
      </c>
      <c r="E24" s="171">
        <v>2000</v>
      </c>
    </row>
    <row r="25" spans="2:5" x14ac:dyDescent="0.2">
      <c r="B25" s="164" t="s">
        <v>994</v>
      </c>
      <c r="C25" s="168">
        <v>15605</v>
      </c>
      <c r="D25" s="171">
        <v>20000</v>
      </c>
      <c r="E25" s="171">
        <v>10000</v>
      </c>
    </row>
    <row r="26" spans="2:5" x14ac:dyDescent="0.2">
      <c r="B26" s="164" t="s">
        <v>995</v>
      </c>
      <c r="C26" s="168">
        <v>37900</v>
      </c>
      <c r="D26" s="171">
        <v>15200</v>
      </c>
      <c r="E26" s="171">
        <v>15000</v>
      </c>
    </row>
    <row r="27" spans="2:5" x14ac:dyDescent="0.2">
      <c r="B27" s="164" t="s">
        <v>996</v>
      </c>
      <c r="C27" s="168">
        <v>9823</v>
      </c>
      <c r="D27" s="171">
        <v>5000</v>
      </c>
      <c r="E27" s="171">
        <v>5000</v>
      </c>
    </row>
    <row r="28" spans="2:5" x14ac:dyDescent="0.2">
      <c r="B28" s="164" t="s">
        <v>997</v>
      </c>
      <c r="C28" s="168">
        <v>10675</v>
      </c>
      <c r="D28" s="171">
        <v>9500</v>
      </c>
      <c r="E28" s="171">
        <v>5000</v>
      </c>
    </row>
    <row r="29" spans="2:5" x14ac:dyDescent="0.2">
      <c r="B29" s="164" t="s">
        <v>998</v>
      </c>
      <c r="C29" s="168">
        <v>26400</v>
      </c>
      <c r="D29" s="171">
        <v>26400</v>
      </c>
      <c r="E29" s="171">
        <v>26400</v>
      </c>
    </row>
    <row r="30" spans="2:5" x14ac:dyDescent="0.2">
      <c r="B30" s="164" t="s">
        <v>999</v>
      </c>
      <c r="C30" s="168">
        <f>37381-8734-26820</f>
        <v>1827</v>
      </c>
      <c r="D30" s="171">
        <v>20000</v>
      </c>
      <c r="E30" s="171">
        <v>20000</v>
      </c>
    </row>
    <row r="31" spans="2:5" x14ac:dyDescent="0.2">
      <c r="B31" s="164" t="s">
        <v>1044</v>
      </c>
      <c r="C31" s="168"/>
      <c r="D31" s="168">
        <v>32760</v>
      </c>
      <c r="E31" s="171">
        <v>32760</v>
      </c>
    </row>
    <row r="32" spans="2:5" x14ac:dyDescent="0.2">
      <c r="B32" s="164" t="s">
        <v>1055</v>
      </c>
      <c r="C32" s="168"/>
      <c r="D32" s="168">
        <v>34694</v>
      </c>
      <c r="E32" s="171"/>
    </row>
    <row r="33" spans="2:5" x14ac:dyDescent="0.2">
      <c r="B33" s="164"/>
      <c r="C33" s="168"/>
      <c r="D33" s="168"/>
      <c r="E33" s="171"/>
    </row>
    <row r="34" spans="2:5" x14ac:dyDescent="0.2">
      <c r="B34" s="164"/>
      <c r="C34" s="168"/>
      <c r="D34" s="168"/>
      <c r="E34" s="171"/>
    </row>
    <row r="35" spans="2:5" x14ac:dyDescent="0.2">
      <c r="B35" s="164"/>
      <c r="C35" s="168"/>
      <c r="D35" s="168"/>
      <c r="E35" s="171"/>
    </row>
    <row r="36" spans="2:5" x14ac:dyDescent="0.2">
      <c r="B36" s="164"/>
      <c r="C36" s="168"/>
      <c r="D36" s="168"/>
      <c r="E36" s="171"/>
    </row>
    <row r="37" spans="2:5" x14ac:dyDescent="0.2">
      <c r="B37" s="164"/>
      <c r="C37" s="168"/>
      <c r="D37" s="168"/>
      <c r="E37" s="171"/>
    </row>
    <row r="38" spans="2:5" x14ac:dyDescent="0.2">
      <c r="B38" s="164"/>
      <c r="C38" s="168"/>
      <c r="D38" s="168"/>
      <c r="E38" s="171"/>
    </row>
    <row r="39" spans="2:5" x14ac:dyDescent="0.2">
      <c r="B39" s="164"/>
      <c r="C39" s="168"/>
      <c r="D39" s="168"/>
      <c r="E39" s="171"/>
    </row>
    <row r="40" spans="2:5" x14ac:dyDescent="0.2">
      <c r="B40" s="164"/>
      <c r="C40" s="168"/>
      <c r="D40" s="168"/>
      <c r="E40" s="171"/>
    </row>
    <row r="41" spans="2:5" x14ac:dyDescent="0.2">
      <c r="B41" s="164"/>
      <c r="C41" s="168"/>
      <c r="D41" s="168"/>
      <c r="E41" s="171"/>
    </row>
    <row r="42" spans="2:5" x14ac:dyDescent="0.2">
      <c r="B42" s="164"/>
      <c r="C42" s="168"/>
      <c r="D42" s="168"/>
      <c r="E42" s="171"/>
    </row>
    <row r="43" spans="2:5" x14ac:dyDescent="0.2">
      <c r="B43" s="164"/>
      <c r="C43" s="168"/>
      <c r="D43" s="168"/>
      <c r="E43" s="171"/>
    </row>
    <row r="44" spans="2:5" x14ac:dyDescent="0.2">
      <c r="B44" s="164"/>
      <c r="C44" s="168"/>
      <c r="D44" s="168"/>
      <c r="E44" s="171"/>
    </row>
    <row r="45" spans="2:5" x14ac:dyDescent="0.2">
      <c r="B45" s="164"/>
      <c r="C45" s="168"/>
      <c r="D45" s="168"/>
      <c r="E45" s="171"/>
    </row>
    <row r="46" spans="2:5" x14ac:dyDescent="0.2">
      <c r="B46" s="164"/>
      <c r="C46" s="168"/>
      <c r="D46" s="168"/>
      <c r="E46" s="171"/>
    </row>
    <row r="47" spans="2:5" x14ac:dyDescent="0.2">
      <c r="B47" s="164"/>
      <c r="C47" s="168"/>
      <c r="D47" s="168"/>
      <c r="E47" s="171"/>
    </row>
    <row r="48" spans="2:5" x14ac:dyDescent="0.2">
      <c r="B48" s="164"/>
      <c r="C48" s="168"/>
      <c r="D48" s="168"/>
      <c r="E48" s="171"/>
    </row>
    <row r="49" spans="2:5" x14ac:dyDescent="0.2">
      <c r="B49" s="164" t="s">
        <v>65</v>
      </c>
      <c r="C49" s="168"/>
      <c r="D49" s="168"/>
      <c r="E49" s="171"/>
    </row>
    <row r="50" spans="2:5" x14ac:dyDescent="0.2">
      <c r="B50" s="172" t="s">
        <v>67</v>
      </c>
      <c r="C50" s="168">
        <v>893</v>
      </c>
      <c r="D50" s="168"/>
      <c r="E50" s="171"/>
    </row>
    <row r="51" spans="2:5" x14ac:dyDescent="0.2">
      <c r="B51" s="184" t="s">
        <v>8</v>
      </c>
      <c r="C51" s="168"/>
      <c r="D51" s="168"/>
      <c r="E51" s="141">
        <f>'NR Rebate'!E6*-1</f>
        <v>0</v>
      </c>
    </row>
    <row r="52" spans="2:5" x14ac:dyDescent="0.2">
      <c r="B52" s="102" t="s">
        <v>9</v>
      </c>
      <c r="C52" s="168"/>
      <c r="D52" s="168"/>
      <c r="E52" s="171"/>
    </row>
    <row r="53" spans="2:5" x14ac:dyDescent="0.2">
      <c r="B53" s="163" t="s">
        <v>352</v>
      </c>
      <c r="C53" s="173" t="str">
        <f>IF(C54*0.1&lt;C52,"Exceed 10% Rule","")</f>
        <v/>
      </c>
      <c r="D53" s="173" t="str">
        <f>IF(D54*0.1&lt;D52,"Exceed 10% Rule","")</f>
        <v/>
      </c>
      <c r="E53" s="204" t="str">
        <f>IF(E54*0.1+E115&lt;E52,"Exceed 10% Rule","")</f>
        <v/>
      </c>
    </row>
    <row r="54" spans="2:5" x14ac:dyDescent="0.2">
      <c r="B54" s="175" t="s">
        <v>68</v>
      </c>
      <c r="C54" s="589">
        <f>SUM(C9:C52)</f>
        <v>1187347</v>
      </c>
      <c r="D54" s="589">
        <f>SUM(D9:D52)</f>
        <v>1357321</v>
      </c>
      <c r="E54" s="591">
        <f>SUM(E10:E52)</f>
        <v>523677</v>
      </c>
    </row>
    <row r="55" spans="2:5" x14ac:dyDescent="0.2">
      <c r="B55" s="175" t="s">
        <v>69</v>
      </c>
      <c r="C55" s="589">
        <f>C7+C54</f>
        <v>1308269</v>
      </c>
      <c r="D55" s="589">
        <f>D7+D54</f>
        <v>1456044</v>
      </c>
      <c r="E55" s="591">
        <f>E7+E54</f>
        <v>613704</v>
      </c>
    </row>
    <row r="56" spans="2:5" x14ac:dyDescent="0.2">
      <c r="B56" s="28"/>
      <c r="C56" s="28"/>
      <c r="D56" s="28"/>
      <c r="E56" s="28"/>
    </row>
    <row r="57" spans="2:5" x14ac:dyDescent="0.2">
      <c r="B57" s="80" t="s">
        <v>78</v>
      </c>
      <c r="C57" s="108">
        <f>IF(inputPrYr!D20&gt;0,7,6)</f>
        <v>7</v>
      </c>
      <c r="D57" s="109"/>
      <c r="E57" s="109"/>
    </row>
    <row r="58" spans="2:5" x14ac:dyDescent="0.2">
      <c r="B58" s="109"/>
      <c r="C58" s="109"/>
      <c r="D58" s="109"/>
      <c r="E58" s="109"/>
    </row>
    <row r="59" spans="2:5" x14ac:dyDescent="0.2">
      <c r="B59" s="47" t="str">
        <f>inputPrYr!D3</f>
        <v>Wellsville</v>
      </c>
      <c r="C59" s="28"/>
      <c r="D59" s="28"/>
      <c r="E59" s="107"/>
    </row>
    <row r="60" spans="2:5" x14ac:dyDescent="0.2">
      <c r="B60" s="28"/>
      <c r="C60" s="28"/>
      <c r="D60" s="28"/>
      <c r="E60" s="80"/>
    </row>
    <row r="61" spans="2:5" x14ac:dyDescent="0.2">
      <c r="B61" s="179" t="s">
        <v>122</v>
      </c>
      <c r="C61" s="135"/>
      <c r="D61" s="135"/>
      <c r="E61" s="135"/>
    </row>
    <row r="62" spans="2:5" x14ac:dyDescent="0.2">
      <c r="B62" s="28" t="s">
        <v>59</v>
      </c>
      <c r="C62" s="442" t="s">
        <v>479</v>
      </c>
      <c r="D62" s="443" t="s">
        <v>480</v>
      </c>
      <c r="E62" s="87" t="s">
        <v>481</v>
      </c>
    </row>
    <row r="63" spans="2:5" x14ac:dyDescent="0.2">
      <c r="B63" s="47" t="str">
        <f>inputPrYr!B18</f>
        <v>General</v>
      </c>
      <c r="C63" s="138" t="str">
        <f>CONCATENATE("Actual for ",E1-2,"")</f>
        <v>Actual for 2022</v>
      </c>
      <c r="D63" s="138" t="str">
        <f>CONCATENATE("Estimate for ",E1-1,"")</f>
        <v>Estimate for 2023</v>
      </c>
      <c r="E63" s="122" t="str">
        <f>CONCATENATE("Year for ",E1,"")</f>
        <v>Year for 2024</v>
      </c>
    </row>
    <row r="64" spans="2:5" x14ac:dyDescent="0.2">
      <c r="B64" s="180" t="s">
        <v>69</v>
      </c>
      <c r="C64" s="166">
        <f>C55</f>
        <v>1308269</v>
      </c>
      <c r="D64" s="166">
        <f>D55</f>
        <v>1456044</v>
      </c>
      <c r="E64" s="141">
        <f>E55</f>
        <v>613704</v>
      </c>
    </row>
    <row r="65" spans="2:6" x14ac:dyDescent="0.2">
      <c r="B65" s="167" t="s">
        <v>71</v>
      </c>
      <c r="C65" s="102"/>
      <c r="D65" s="102"/>
      <c r="E65" s="52"/>
    </row>
    <row r="66" spans="2:6" x14ac:dyDescent="0.2">
      <c r="B66" s="163" t="str">
        <f>'General Detail'!A7</f>
        <v>General Admistration Department</v>
      </c>
      <c r="C66" s="166">
        <f>'General Detail'!B15</f>
        <v>185102</v>
      </c>
      <c r="D66" s="166">
        <f>'General Detail'!C15</f>
        <v>172000</v>
      </c>
      <c r="E66" s="141">
        <f>'General Detail'!D15</f>
        <v>200000</v>
      </c>
    </row>
    <row r="67" spans="2:6" x14ac:dyDescent="0.2">
      <c r="B67" s="163" t="str">
        <f>'General Detail'!A16</f>
        <v>General Adminstration Court</v>
      </c>
      <c r="C67" s="166">
        <f>'General Detail'!B22</f>
        <v>4617</v>
      </c>
      <c r="D67" s="166">
        <f>'General Detail'!C22</f>
        <v>7500</v>
      </c>
      <c r="E67" s="141">
        <f>'General Detail'!D22</f>
        <v>10000</v>
      </c>
    </row>
    <row r="68" spans="2:6" x14ac:dyDescent="0.2">
      <c r="B68" s="163" t="str">
        <f>'General Detail'!A23</f>
        <v>Planning /Engineering Department</v>
      </c>
      <c r="C68" s="166">
        <f>'General Detail'!B29</f>
        <v>98342</v>
      </c>
      <c r="D68" s="166">
        <f>'General Detail'!C29</f>
        <v>120000</v>
      </c>
      <c r="E68" s="141">
        <f>'General Detail'!D29</f>
        <v>150000</v>
      </c>
      <c r="F68" s="182"/>
    </row>
    <row r="69" spans="2:6" x14ac:dyDescent="0.2">
      <c r="B69" s="163" t="str">
        <f>'General Detail'!A30</f>
        <v>Pool Operations</v>
      </c>
      <c r="C69" s="166">
        <f>'General Detail'!B35</f>
        <v>59107</v>
      </c>
      <c r="D69" s="166">
        <f>'General Detail'!C35</f>
        <v>50000</v>
      </c>
      <c r="E69" s="141">
        <f>'General Detail'!D35</f>
        <v>50000</v>
      </c>
      <c r="F69" s="182"/>
    </row>
    <row r="70" spans="2:6" x14ac:dyDescent="0.2">
      <c r="B70" s="163" t="str">
        <f>'General Detail'!A36</f>
        <v>Police Department</v>
      </c>
      <c r="C70" s="166">
        <f>'General Detail'!B42</f>
        <v>479991</v>
      </c>
      <c r="D70" s="166">
        <f>'General Detail'!C42</f>
        <v>524401</v>
      </c>
      <c r="E70" s="141">
        <f>'General Detail'!D42</f>
        <v>503803</v>
      </c>
    </row>
    <row r="71" spans="2:6" x14ac:dyDescent="0.2">
      <c r="B71" s="163" t="str">
        <f>'General Detail'!A43</f>
        <v>Street Department</v>
      </c>
      <c r="C71" s="166">
        <f>'General Detail'!B49</f>
        <v>163975</v>
      </c>
      <c r="D71" s="166">
        <f>'General Detail'!C49</f>
        <v>185116</v>
      </c>
      <c r="E71" s="141">
        <f>'General Detail'!D49</f>
        <v>191000</v>
      </c>
    </row>
    <row r="72" spans="2:6" x14ac:dyDescent="0.2">
      <c r="B72" s="163" t="str">
        <f>'General Detail'!A50</f>
        <v>Cementary Maintenance</v>
      </c>
      <c r="C72" s="166">
        <f>'General Detail'!B56</f>
        <v>20890</v>
      </c>
      <c r="D72" s="166">
        <f>'General Detail'!C56</f>
        <v>35400</v>
      </c>
      <c r="E72" s="141">
        <f>'General Detail'!D56</f>
        <v>36460</v>
      </c>
    </row>
    <row r="73" spans="2:6" x14ac:dyDescent="0.2">
      <c r="B73" s="163" t="str">
        <f>'General Detail'!A57</f>
        <v>Park Department</v>
      </c>
      <c r="C73" s="166">
        <f>'General Detail'!B63</f>
        <v>58646</v>
      </c>
      <c r="D73" s="166">
        <f>'General Detail'!C63</f>
        <v>32250</v>
      </c>
      <c r="E73" s="141">
        <f>'General Detail'!D63</f>
        <v>33800</v>
      </c>
    </row>
    <row r="74" spans="2:6" x14ac:dyDescent="0.2">
      <c r="B74" s="163">
        <f>'General Detail'!A75</f>
        <v>0</v>
      </c>
      <c r="C74" s="166">
        <f>'General Detail'!B81</f>
        <v>0</v>
      </c>
      <c r="D74" s="166">
        <f>'General Detail'!C81</f>
        <v>0</v>
      </c>
      <c r="E74" s="141">
        <f>'General Detail'!D81</f>
        <v>0</v>
      </c>
    </row>
    <row r="75" spans="2:6" x14ac:dyDescent="0.2">
      <c r="B75" s="163">
        <f>'General Detail'!A82</f>
        <v>0</v>
      </c>
      <c r="C75" s="166">
        <f>'General Detail'!B88</f>
        <v>0</v>
      </c>
      <c r="D75" s="166">
        <f>'General Detail'!C88</f>
        <v>0</v>
      </c>
      <c r="E75" s="141">
        <f>'General Detail'!D88</f>
        <v>0</v>
      </c>
    </row>
    <row r="76" spans="2:6" x14ac:dyDescent="0.2">
      <c r="B76" s="163">
        <f>'General Detail'!A89</f>
        <v>0</v>
      </c>
      <c r="C76" s="166">
        <f>'General Detail'!B95</f>
        <v>0</v>
      </c>
      <c r="D76" s="166">
        <f>'General Detail'!C95</f>
        <v>0</v>
      </c>
      <c r="E76" s="141">
        <f>'General Detail'!D95</f>
        <v>0</v>
      </c>
    </row>
    <row r="77" spans="2:6" x14ac:dyDescent="0.2">
      <c r="B77" s="163">
        <f>'General Detail'!A96</f>
        <v>0</v>
      </c>
      <c r="C77" s="166">
        <f>'General Detail'!B101</f>
        <v>0</v>
      </c>
      <c r="D77" s="166">
        <f>'General Detail'!C101</f>
        <v>0</v>
      </c>
      <c r="E77" s="141">
        <f>'General Detail'!D101</f>
        <v>0</v>
      </c>
    </row>
    <row r="78" spans="2:6" x14ac:dyDescent="0.2">
      <c r="B78" s="163">
        <f>'General Detail'!A102</f>
        <v>0</v>
      </c>
      <c r="C78" s="166">
        <f>'General Detail'!B108</f>
        <v>0</v>
      </c>
      <c r="D78" s="166">
        <f>'General Detail'!C108</f>
        <v>0</v>
      </c>
      <c r="E78" s="141">
        <f>'General Detail'!D108</f>
        <v>0</v>
      </c>
    </row>
    <row r="79" spans="2:6" x14ac:dyDescent="0.2">
      <c r="B79" s="163">
        <f>'General Detail'!A109</f>
        <v>0</v>
      </c>
      <c r="C79" s="166">
        <f>'General Detail'!B115</f>
        <v>0</v>
      </c>
      <c r="D79" s="166">
        <f>'General Detail'!C115</f>
        <v>0</v>
      </c>
      <c r="E79" s="141">
        <f>'General Detail'!D115</f>
        <v>0</v>
      </c>
    </row>
    <row r="80" spans="2:6" x14ac:dyDescent="0.2">
      <c r="B80" s="163">
        <f>'General Detail'!A116</f>
        <v>0</v>
      </c>
      <c r="C80" s="166">
        <f>'General Detail'!B122</f>
        <v>0</v>
      </c>
      <c r="D80" s="166">
        <f>'General Detail'!C122</f>
        <v>0</v>
      </c>
      <c r="E80" s="141">
        <f>'General Detail'!D122</f>
        <v>0</v>
      </c>
    </row>
    <row r="81" spans="2:11" x14ac:dyDescent="0.2">
      <c r="B81" s="163">
        <f>'General Detail'!A123</f>
        <v>0</v>
      </c>
      <c r="C81" s="166">
        <f>'General Detail'!B129</f>
        <v>0</v>
      </c>
      <c r="D81" s="166">
        <f>'General Detail'!C129</f>
        <v>0</v>
      </c>
      <c r="E81" s="141">
        <f>'General Detail'!D129</f>
        <v>0</v>
      </c>
    </row>
    <row r="82" spans="2:11" x14ac:dyDescent="0.2">
      <c r="B82" s="163" t="s">
        <v>322</v>
      </c>
      <c r="C82" s="253">
        <f>SUM(C66:C81)</f>
        <v>1070670</v>
      </c>
      <c r="D82" s="253">
        <f>SUM(D66:D81)</f>
        <v>1126667</v>
      </c>
      <c r="E82" s="194">
        <f>SUM(E66:E81)</f>
        <v>1175063</v>
      </c>
    </row>
    <row r="83" spans="2:11" x14ac:dyDescent="0.2">
      <c r="B83" s="172" t="s">
        <v>1008</v>
      </c>
      <c r="C83" s="168">
        <v>1000</v>
      </c>
      <c r="D83" s="168"/>
      <c r="E83" s="171"/>
      <c r="G83" s="692" t="str">
        <f>CONCATENATE("Desired Carryover Into ",E1+1,"")</f>
        <v>Desired Carryover Into 2025</v>
      </c>
      <c r="H83" s="693"/>
      <c r="I83" s="693"/>
      <c r="J83" s="694"/>
    </row>
    <row r="84" spans="2:11" x14ac:dyDescent="0.2">
      <c r="B84" s="172" t="s">
        <v>1010</v>
      </c>
      <c r="C84" s="168"/>
      <c r="D84" s="168"/>
      <c r="E84" s="171">
        <v>24000</v>
      </c>
      <c r="G84" s="337"/>
      <c r="H84" s="334"/>
      <c r="I84" s="334"/>
      <c r="J84" s="338"/>
    </row>
    <row r="85" spans="2:11" x14ac:dyDescent="0.2">
      <c r="B85" s="172" t="s">
        <v>1009</v>
      </c>
      <c r="C85" s="168">
        <v>11215</v>
      </c>
      <c r="D85" s="168">
        <v>16200</v>
      </c>
      <c r="E85" s="171"/>
      <c r="G85" s="348" t="s">
        <v>349</v>
      </c>
      <c r="H85" s="342"/>
      <c r="I85" s="342"/>
      <c r="J85" s="336">
        <v>0</v>
      </c>
    </row>
    <row r="86" spans="2:11" x14ac:dyDescent="0.2">
      <c r="B86" s="172" t="s">
        <v>1042</v>
      </c>
      <c r="C86" s="168"/>
      <c r="D86" s="168"/>
      <c r="E86" s="171">
        <v>17000</v>
      </c>
      <c r="G86" s="352" t="s">
        <v>350</v>
      </c>
      <c r="H86" s="333"/>
      <c r="I86" s="335"/>
      <c r="J86" s="351" t="str">
        <f>IF(J85=0,"",ROUND((J85+E115-G98)/inputOth!E7*1000,3)-General!G103)</f>
        <v/>
      </c>
    </row>
    <row r="87" spans="2:11" x14ac:dyDescent="0.2">
      <c r="B87" s="183" t="s">
        <v>1041</v>
      </c>
      <c r="C87" s="168"/>
      <c r="D87" s="168"/>
      <c r="E87" s="171">
        <v>74000</v>
      </c>
      <c r="G87" s="370" t="str">
        <f>CONCATENATE("",E1," Total Expenditures Must Be:")</f>
        <v>2024 Total Expenditures Must Be:</v>
      </c>
      <c r="H87" s="371"/>
      <c r="I87" s="372"/>
      <c r="J87" s="350">
        <f>IF(J85&gt;0,IF(E112&lt;E55,IF(J85=G98,E112,((J85-G98)*(1-D114))+E55),E112+(J85-G98)),0)</f>
        <v>0</v>
      </c>
    </row>
    <row r="88" spans="2:11" x14ac:dyDescent="0.2">
      <c r="B88" s="172" t="s">
        <v>1011</v>
      </c>
      <c r="C88" s="168"/>
      <c r="D88" s="168">
        <v>21000</v>
      </c>
      <c r="E88" s="171"/>
      <c r="G88" s="373" t="s">
        <v>422</v>
      </c>
      <c r="H88" s="374"/>
      <c r="I88" s="375"/>
      <c r="J88" s="395">
        <f>IF(J85&gt;0,J87-E112,0)</f>
        <v>0</v>
      </c>
    </row>
    <row r="89" spans="2:11" x14ac:dyDescent="0.2">
      <c r="B89" s="183" t="s">
        <v>1012</v>
      </c>
      <c r="C89" s="168"/>
      <c r="D89" s="168"/>
      <c r="E89" s="171">
        <v>50000</v>
      </c>
    </row>
    <row r="90" spans="2:11" x14ac:dyDescent="0.2">
      <c r="B90" s="183" t="s">
        <v>1040</v>
      </c>
      <c r="C90" s="168">
        <f>11567+11646</f>
        <v>23213</v>
      </c>
      <c r="D90" s="168">
        <v>15659</v>
      </c>
      <c r="E90" s="171">
        <v>15659</v>
      </c>
      <c r="G90" s="692" t="str">
        <f>CONCATENATE("Projected Carryover Into ",E1+1,"")</f>
        <v>Projected Carryover Into 2025</v>
      </c>
      <c r="H90" s="700"/>
      <c r="I90" s="700"/>
      <c r="J90" s="701"/>
    </row>
    <row r="91" spans="2:11" x14ac:dyDescent="0.2">
      <c r="B91" s="183" t="s">
        <v>1013</v>
      </c>
      <c r="C91" s="168">
        <v>46618</v>
      </c>
      <c r="D91" s="168">
        <v>50000</v>
      </c>
      <c r="E91" s="171"/>
      <c r="G91" s="337"/>
      <c r="H91" s="334"/>
      <c r="I91" s="334"/>
      <c r="J91" s="338"/>
    </row>
    <row r="92" spans="2:11" x14ac:dyDescent="0.2">
      <c r="B92" s="183" t="s">
        <v>1014</v>
      </c>
      <c r="C92" s="168"/>
      <c r="D92" s="168"/>
      <c r="E92" s="171"/>
      <c r="G92" s="339">
        <f>D109</f>
        <v>90027</v>
      </c>
      <c r="H92" s="340" t="str">
        <f>CONCATENATE("",E1-1," Ending Cash Balance (est.)")</f>
        <v>2023 Ending Cash Balance (est.)</v>
      </c>
      <c r="I92" s="341"/>
      <c r="J92" s="338"/>
    </row>
    <row r="93" spans="2:11" x14ac:dyDescent="0.2">
      <c r="B93" s="183" t="s">
        <v>1043</v>
      </c>
      <c r="C93" s="168">
        <v>6633</v>
      </c>
      <c r="D93" s="168"/>
      <c r="E93" s="171">
        <f>7500+1762</f>
        <v>9262</v>
      </c>
      <c r="G93" s="339">
        <f>E54</f>
        <v>523677</v>
      </c>
      <c r="H93" s="342" t="str">
        <f>CONCATENATE("",E1," Non-AV Receipts (est.)")</f>
        <v>2024 Non-AV Receipts (est.)</v>
      </c>
      <c r="I93" s="341"/>
      <c r="J93" s="338"/>
    </row>
    <row r="94" spans="2:11" x14ac:dyDescent="0.2">
      <c r="B94" s="183" t="s">
        <v>1015</v>
      </c>
      <c r="C94" s="168"/>
      <c r="D94" s="168">
        <v>59398</v>
      </c>
      <c r="E94" s="171">
        <v>59398</v>
      </c>
      <c r="G94" s="343">
        <f>IF(E114&gt;0,E113,E115)</f>
        <v>923878</v>
      </c>
      <c r="H94" s="342" t="str">
        <f>CONCATENATE("",E1," Ad Valorem Tax (est.)")</f>
        <v>2024 Ad Valorem Tax (est.)</v>
      </c>
      <c r="I94" s="341"/>
      <c r="J94" s="338"/>
      <c r="K94" s="377" t="str">
        <f>IF(G94=E115,"","Note: Does not include Delinquent Taxes")</f>
        <v>Note: Does not include Delinquent Taxes</v>
      </c>
    </row>
    <row r="95" spans="2:11" x14ac:dyDescent="0.2">
      <c r="B95" s="183" t="s">
        <v>1016</v>
      </c>
      <c r="C95" s="168">
        <v>24000</v>
      </c>
      <c r="D95" s="168"/>
      <c r="E95" s="171"/>
      <c r="G95" s="339">
        <f>SUM(G92:G94)</f>
        <v>1537582</v>
      </c>
      <c r="H95" s="342" t="str">
        <f>CONCATENATE("Total ",E1," Resources Available")</f>
        <v>Total 2024 Resources Available</v>
      </c>
      <c r="I95" s="341"/>
      <c r="J95" s="338"/>
    </row>
    <row r="96" spans="2:11" x14ac:dyDescent="0.2">
      <c r="B96" s="183" t="s">
        <v>1017</v>
      </c>
      <c r="C96" s="168"/>
      <c r="D96" s="168">
        <v>40000</v>
      </c>
      <c r="E96" s="171"/>
      <c r="G96" s="344"/>
      <c r="H96" s="342"/>
      <c r="I96" s="342"/>
      <c r="J96" s="338"/>
    </row>
    <row r="97" spans="2:10" x14ac:dyDescent="0.2">
      <c r="B97" s="183" t="s">
        <v>1053</v>
      </c>
      <c r="C97" s="168"/>
      <c r="D97" s="168"/>
      <c r="E97" s="171">
        <v>6000</v>
      </c>
      <c r="G97" s="343">
        <f>C108*0.05+C108</f>
        <v>1270023.3</v>
      </c>
      <c r="H97" s="342" t="str">
        <f>CONCATENATE("Less ",E1-2," Expenditures + 5%")</f>
        <v>Less 2022 Expenditures + 5%</v>
      </c>
      <c r="I97" s="341"/>
      <c r="J97" s="338"/>
    </row>
    <row r="98" spans="2:10" x14ac:dyDescent="0.2">
      <c r="B98" s="183" t="s">
        <v>1046</v>
      </c>
      <c r="C98" s="168"/>
      <c r="D98" s="168"/>
      <c r="E98" s="171">
        <v>20000</v>
      </c>
      <c r="G98" s="349">
        <f>G95-G97</f>
        <v>267558.69999999995</v>
      </c>
      <c r="H98" s="345" t="str">
        <f>CONCATENATE("Projected ",E1+1," Carryover (est.)")</f>
        <v>Projected 2025 Carryover (est.)</v>
      </c>
      <c r="I98" s="346"/>
      <c r="J98" s="347"/>
    </row>
    <row r="99" spans="2:10" x14ac:dyDescent="0.2">
      <c r="B99" s="183" t="s">
        <v>1018</v>
      </c>
      <c r="C99" s="168"/>
      <c r="D99" s="168">
        <v>20000</v>
      </c>
      <c r="E99" s="171">
        <v>25000</v>
      </c>
    </row>
    <row r="100" spans="2:10" x14ac:dyDescent="0.2">
      <c r="B100" s="183" t="s">
        <v>1019</v>
      </c>
      <c r="C100" s="168">
        <v>17093</v>
      </c>
      <c r="D100" s="168">
        <v>17093</v>
      </c>
      <c r="E100" s="171"/>
      <c r="G100" s="702" t="s">
        <v>722</v>
      </c>
      <c r="H100" s="703"/>
      <c r="I100" s="703"/>
      <c r="J100" s="704"/>
    </row>
    <row r="101" spans="2:10" x14ac:dyDescent="0.2">
      <c r="B101" s="183" t="s">
        <v>1045</v>
      </c>
      <c r="C101" s="168"/>
      <c r="D101" s="168"/>
      <c r="E101" s="171">
        <v>19000</v>
      </c>
      <c r="G101" s="705"/>
      <c r="H101" s="706"/>
      <c r="I101" s="706"/>
      <c r="J101" s="707"/>
    </row>
    <row r="102" spans="2:10" x14ac:dyDescent="0.2">
      <c r="B102" s="183" t="s">
        <v>1020</v>
      </c>
      <c r="C102" s="168">
        <v>9104</v>
      </c>
      <c r="D102" s="168"/>
      <c r="E102" s="171"/>
      <c r="G102" s="577">
        <f>'Summary Budget Hearing Notice'!H15</f>
        <v>44.917999999999999</v>
      </c>
      <c r="H102" s="376" t="str">
        <f>CONCATENATE("",E1," Estimated Fund Mill Rate")</f>
        <v>2024 Estimated Fund Mill Rate</v>
      </c>
      <c r="I102" s="578"/>
      <c r="J102" s="579"/>
    </row>
    <row r="103" spans="2:10" x14ac:dyDescent="0.2">
      <c r="B103" s="183" t="s">
        <v>1051</v>
      </c>
      <c r="C103" s="168"/>
      <c r="D103" s="168"/>
      <c r="E103" s="171">
        <v>27200</v>
      </c>
      <c r="G103" s="580">
        <f>'Summary Budget Hearing Notice'!E15</f>
        <v>39.895000000000003</v>
      </c>
      <c r="H103" s="376" t="str">
        <f>CONCATENATE("",E1-1," Fund Mill Rate")</f>
        <v>2023 Fund Mill Rate</v>
      </c>
      <c r="I103" s="578"/>
      <c r="J103" s="579"/>
    </row>
    <row r="104" spans="2:10" x14ac:dyDescent="0.2">
      <c r="B104" s="183" t="s">
        <v>1054</v>
      </c>
      <c r="C104" s="168"/>
      <c r="D104" s="168"/>
      <c r="E104" s="171">
        <v>16000</v>
      </c>
      <c r="G104" s="581">
        <f>inputOth!D20</f>
        <v>50.973999999999997</v>
      </c>
      <c r="H104" s="582" t="s">
        <v>723</v>
      </c>
      <c r="I104" s="578"/>
      <c r="J104" s="579"/>
    </row>
    <row r="105" spans="2:10" x14ac:dyDescent="0.2">
      <c r="B105" s="184" t="str">
        <f>CONCATENATE("Cash Forward (",E1," column)")</f>
        <v>Cash Forward (2024 column)</v>
      </c>
      <c r="C105" s="168"/>
      <c r="D105" s="168"/>
      <c r="E105" s="171"/>
      <c r="G105" s="577" t="e">
        <f>'Summary Budget Hearing Notice'!H52</f>
        <v>#REF!</v>
      </c>
      <c r="H105" s="376" t="str">
        <f>CONCATENATE(E1," Estimated Total Mill Rate")</f>
        <v>2024 Estimated Total Mill Rate</v>
      </c>
      <c r="I105" s="578"/>
      <c r="J105" s="579"/>
    </row>
    <row r="106" spans="2:10" x14ac:dyDescent="0.2">
      <c r="B106" s="184" t="s">
        <v>9</v>
      </c>
      <c r="C106" s="168"/>
      <c r="D106" s="168"/>
      <c r="E106" s="171"/>
      <c r="G106" s="583">
        <f>'Summary Budget Hearing Notice'!E52</f>
        <v>54.954999999999991</v>
      </c>
      <c r="H106" s="376" t="str">
        <f>CONCATENATE(E1-1," Total Mill Rate")</f>
        <v>2023 Total Mill Rate</v>
      </c>
      <c r="I106" s="578"/>
      <c r="J106" s="579"/>
    </row>
    <row r="107" spans="2:10" x14ac:dyDescent="0.2">
      <c r="B107" s="184" t="s">
        <v>353</v>
      </c>
      <c r="C107" s="173" t="str">
        <f>IF(C108*0.1&lt;C106,"Exceed 10% Rule","")</f>
        <v/>
      </c>
      <c r="D107" s="173" t="str">
        <f>IF(D108*0.1&lt;D106,"Exceed 10% Rule","")</f>
        <v/>
      </c>
      <c r="E107" s="204" t="str">
        <f>IF(E108*0.1&lt;E106,"Exceed 10% Rule","")</f>
        <v/>
      </c>
      <c r="G107" s="396"/>
      <c r="H107" s="383"/>
      <c r="I107" s="383"/>
      <c r="J107" s="403"/>
    </row>
    <row r="108" spans="2:10" x14ac:dyDescent="0.2">
      <c r="B108" s="175" t="s">
        <v>75</v>
      </c>
      <c r="C108" s="590">
        <f>SUM(C82:C106)</f>
        <v>1209546</v>
      </c>
      <c r="D108" s="590">
        <f>SUM(D82:D106)</f>
        <v>1366017</v>
      </c>
      <c r="E108" s="590">
        <f>SUM(E82:E106)</f>
        <v>1537582</v>
      </c>
      <c r="G108" s="708" t="s">
        <v>724</v>
      </c>
      <c r="H108" s="709"/>
      <c r="I108" s="709"/>
      <c r="J108" s="712" t="e">
        <f>IF(G105&gt;G104, "Yes", "No")</f>
        <v>#REF!</v>
      </c>
    </row>
    <row r="109" spans="2:10" x14ac:dyDescent="0.2">
      <c r="B109" s="93" t="s">
        <v>138</v>
      </c>
      <c r="C109" s="446">
        <f>C55-C108</f>
        <v>98723</v>
      </c>
      <c r="D109" s="446">
        <f>D55-D108</f>
        <v>90027</v>
      </c>
      <c r="E109" s="170" t="s">
        <v>49</v>
      </c>
      <c r="G109" s="710"/>
      <c r="H109" s="711"/>
      <c r="I109" s="711"/>
      <c r="J109" s="713"/>
    </row>
    <row r="110" spans="2:10" x14ac:dyDescent="0.2">
      <c r="B110" s="108" t="str">
        <f>CONCATENATE("",E1-2,"/",E1-1,"/",E1," Budget Authority Amount:")</f>
        <v>2022/2023/2024 Budget Authority Amount:</v>
      </c>
      <c r="C110" s="446">
        <f>inputOth!B65</f>
        <v>1215896</v>
      </c>
      <c r="D110" s="446">
        <f>inputPrYr!D18</f>
        <v>1367267</v>
      </c>
      <c r="E110" s="454">
        <f>E108</f>
        <v>1537582</v>
      </c>
      <c r="G110" s="714" t="e">
        <f>IF(J108="Yes", "Follow procedure prescribed by KSA 79-2988 to exceed the Revenue Neutral Rate.", " ")</f>
        <v>#REF!</v>
      </c>
      <c r="H110" s="714"/>
      <c r="I110" s="714"/>
      <c r="J110" s="714"/>
    </row>
    <row r="111" spans="2:10" ht="15.75" customHeight="1" x14ac:dyDescent="0.2">
      <c r="B111" s="80"/>
      <c r="C111" s="695" t="s">
        <v>320</v>
      </c>
      <c r="D111" s="696"/>
      <c r="E111" s="171"/>
      <c r="G111" s="715"/>
      <c r="H111" s="715"/>
      <c r="I111" s="715"/>
      <c r="J111" s="715"/>
    </row>
    <row r="112" spans="2:10" x14ac:dyDescent="0.2">
      <c r="B112" s="329" t="str">
        <f>CONCATENATE(C133,"     ",D133)</f>
        <v xml:space="preserve">     </v>
      </c>
      <c r="C112" s="697" t="s">
        <v>321</v>
      </c>
      <c r="D112" s="698"/>
      <c r="E112" s="141">
        <f>E108+E111</f>
        <v>1537582</v>
      </c>
      <c r="G112" s="715"/>
      <c r="H112" s="715"/>
      <c r="I112" s="715"/>
      <c r="J112" s="715"/>
    </row>
    <row r="113" spans="2:6" x14ac:dyDescent="0.2">
      <c r="B113" s="329" t="str">
        <f>CONCATENATE(C134,"     ",D134)</f>
        <v xml:space="preserve">     </v>
      </c>
      <c r="C113" s="186"/>
      <c r="D113" s="107" t="s">
        <v>76</v>
      </c>
      <c r="E113" s="446">
        <f>IF(E112-E55&gt;0,E112-E55,0)</f>
        <v>923878</v>
      </c>
      <c r="F113" s="185"/>
    </row>
    <row r="114" spans="2:6" x14ac:dyDescent="0.2">
      <c r="B114" s="107"/>
      <c r="C114" s="255" t="s">
        <v>319</v>
      </c>
      <c r="D114" s="450">
        <f>inputOth!$E$52</f>
        <v>1.4E-2</v>
      </c>
      <c r="E114" s="141">
        <f>ROUND(IF(D114&gt;0,(E113*D114),0),0)</f>
        <v>12934</v>
      </c>
      <c r="F114" s="293" t="str">
        <f>IF(E108/0.95-E108&lt;E111,"Exceeds 5%","")</f>
        <v/>
      </c>
    </row>
    <row r="115" spans="2:6" ht="16.5" thickBot="1" x14ac:dyDescent="0.25">
      <c r="B115" s="28"/>
      <c r="C115" s="676" t="str">
        <f>CONCATENATE("Amount of  ",$E$1-1," Ad Valorem Tax")</f>
        <v>Amount of  2023 Ad Valorem Tax</v>
      </c>
      <c r="D115" s="699"/>
      <c r="E115" s="380">
        <f>E113+E114</f>
        <v>936812</v>
      </c>
    </row>
    <row r="116" spans="2:6" ht="16.5" thickTop="1" x14ac:dyDescent="0.2">
      <c r="B116" s="28"/>
      <c r="C116" s="28"/>
      <c r="D116" s="28"/>
      <c r="E116" s="28"/>
    </row>
    <row r="117" spans="2:6" x14ac:dyDescent="0.2">
      <c r="B117" s="537" t="s">
        <v>539</v>
      </c>
      <c r="C117" s="69"/>
      <c r="D117" s="69"/>
      <c r="E117" s="511"/>
    </row>
    <row r="118" spans="2:6" x14ac:dyDescent="0.2">
      <c r="B118" s="396"/>
      <c r="C118" s="28"/>
      <c r="D118" s="28"/>
      <c r="E118" s="403"/>
    </row>
    <row r="119" spans="2:6" ht="15.75" customHeight="1" x14ac:dyDescent="0.2">
      <c r="B119" s="514"/>
      <c r="C119" s="43"/>
      <c r="D119" s="43"/>
      <c r="E119" s="49"/>
    </row>
    <row r="120" spans="2:6" ht="15.75" customHeight="1" x14ac:dyDescent="0.2">
      <c r="B120" s="28"/>
      <c r="C120" s="28"/>
      <c r="D120" s="28"/>
      <c r="E120" s="28"/>
    </row>
    <row r="121" spans="2:6" x14ac:dyDescent="0.2">
      <c r="B121" s="80" t="s">
        <v>78</v>
      </c>
      <c r="C121" s="108" t="str">
        <f>CONCATENATE("",C57,"a")</f>
        <v>7a</v>
      </c>
      <c r="D121" s="109"/>
      <c r="E121" s="109"/>
    </row>
    <row r="123" spans="2:6" x14ac:dyDescent="0.2">
      <c r="B123" s="64"/>
    </row>
    <row r="126" spans="2:6" x14ac:dyDescent="0.2">
      <c r="B126" s="24"/>
      <c r="C126" s="24"/>
    </row>
    <row r="132" spans="3:4" hidden="1" x14ac:dyDescent="0.2"/>
    <row r="133" spans="3:4" hidden="1" x14ac:dyDescent="0.2">
      <c r="C133" s="328" t="str">
        <f>IF(C108&gt;C110,"See Tab A","")</f>
        <v/>
      </c>
      <c r="D133" s="328" t="str">
        <f>IF(D108&gt;D110,"See Tab C","")</f>
        <v/>
      </c>
    </row>
    <row r="134" spans="3:4" x14ac:dyDescent="0.2">
      <c r="C134" s="328" t="str">
        <f>IF(C109&lt;0,"See Tab B","")</f>
        <v/>
      </c>
      <c r="D134" s="328" t="str">
        <f>IF(D109&lt;0,"See Tab D","")</f>
        <v/>
      </c>
    </row>
  </sheetData>
  <sheetProtection sheet="1" objects="1" scenarios="1"/>
  <mergeCells count="9">
    <mergeCell ref="G83:J83"/>
    <mergeCell ref="C111:D111"/>
    <mergeCell ref="C112:D112"/>
    <mergeCell ref="C115:D115"/>
    <mergeCell ref="G90:J90"/>
    <mergeCell ref="G100:J101"/>
    <mergeCell ref="G108:I109"/>
    <mergeCell ref="J108:J109"/>
    <mergeCell ref="G110:J112"/>
  </mergeCells>
  <phoneticPr fontId="0" type="noConversion"/>
  <conditionalFormatting sqref="C52">
    <cfRule type="cellIs" dxfId="151" priority="16" stopIfTrue="1" operator="greaterThan">
      <formula>$C$54*0.1</formula>
    </cfRule>
  </conditionalFormatting>
  <conditionalFormatting sqref="C106">
    <cfRule type="cellIs" dxfId="150" priority="13" stopIfTrue="1" operator="greaterThan">
      <formula>$C$108*0.1</formula>
    </cfRule>
  </conditionalFormatting>
  <conditionalFormatting sqref="C108">
    <cfRule type="expression" dxfId="149" priority="5">
      <formula>$C$108&gt;$C$110</formula>
    </cfRule>
  </conditionalFormatting>
  <conditionalFormatting sqref="C109">
    <cfRule type="expression" dxfId="148" priority="3">
      <formula>$C$109&lt;0</formula>
    </cfRule>
  </conditionalFormatting>
  <conditionalFormatting sqref="D52">
    <cfRule type="cellIs" dxfId="147" priority="15" stopIfTrue="1" operator="greaterThan">
      <formula>$D$54*0.1</formula>
    </cfRule>
  </conditionalFormatting>
  <conditionalFormatting sqref="D106">
    <cfRule type="cellIs" dxfId="146" priority="14" stopIfTrue="1" operator="greaterThan">
      <formula>$D$108*0.1</formula>
    </cfRule>
  </conditionalFormatting>
  <conditionalFormatting sqref="D108">
    <cfRule type="expression" dxfId="145" priority="2">
      <formula>$D$108&gt;$D$110</formula>
    </cfRule>
  </conditionalFormatting>
  <conditionalFormatting sqref="D109">
    <cfRule type="expression" dxfId="144" priority="1">
      <formula>$D$109&lt;0</formula>
    </cfRule>
  </conditionalFormatting>
  <conditionalFormatting sqref="E52">
    <cfRule type="cellIs" dxfId="143" priority="17" stopIfTrue="1" operator="greaterThan">
      <formula>$E$54*0.1+E115</formula>
    </cfRule>
  </conditionalFormatting>
  <conditionalFormatting sqref="E106">
    <cfRule type="cellIs" dxfId="142" priority="8" stopIfTrue="1" operator="greaterThan">
      <formula>$E$108*0.1</formula>
    </cfRule>
  </conditionalFormatting>
  <conditionalFormatting sqref="E111">
    <cfRule type="cellIs" dxfId="141" priority="9" stopIfTrue="1" operator="greaterThan">
      <formula>$E$108/0.95-$E$108</formula>
    </cfRule>
  </conditionalFormatting>
  <conditionalFormatting sqref="J108">
    <cfRule type="containsText" dxfId="140" priority="6" operator="containsText" text="Yes">
      <formula>NOT(ISERROR(SEARCH("Yes",J108)))</formula>
    </cfRule>
  </conditionalFormatting>
  <pageMargins left="0.5" right="0.5" top="1" bottom="0.5" header="0.5" footer="0.5"/>
  <pageSetup scale="72" fitToHeight="2" orientation="portrait" blackAndWhite="1" r:id="rId1"/>
  <headerFooter alignWithMargins="0">
    <oddHeader>&amp;RState of Kansas
City</oddHeader>
  </headerFooter>
  <rowBreaks count="2" manualBreakCount="2">
    <brk id="57" min="1" max="4"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35"/>
  <sheetViews>
    <sheetView zoomScaleNormal="100" workbookViewId="0">
      <selection activeCell="A47" sqref="A47"/>
    </sheetView>
  </sheetViews>
  <sheetFormatPr defaultColWidth="8.88671875" defaultRowHeight="15.75" x14ac:dyDescent="0.2"/>
  <cols>
    <col min="1" max="1" width="28.33203125" style="24" customWidth="1"/>
    <col min="2" max="3" width="15.77734375" style="24" customWidth="1"/>
    <col min="4" max="4" width="16.109375" style="24" customWidth="1"/>
    <col min="5" max="16384" width="8.88671875" style="24"/>
  </cols>
  <sheetData>
    <row r="1" spans="1:4" x14ac:dyDescent="0.2">
      <c r="A1" s="47" t="str">
        <f>inputPrYr!D3</f>
        <v>Wellsville</v>
      </c>
      <c r="B1" s="28"/>
      <c r="C1" s="108"/>
      <c r="D1" s="28">
        <f>inputPrYr!C6</f>
        <v>2024</v>
      </c>
    </row>
    <row r="2" spans="1:4" x14ac:dyDescent="0.2">
      <c r="A2" s="28"/>
      <c r="B2" s="28"/>
      <c r="C2" s="28"/>
      <c r="D2" s="108"/>
    </row>
    <row r="3" spans="1:4" x14ac:dyDescent="0.2">
      <c r="A3" s="360"/>
      <c r="B3" s="162"/>
      <c r="C3" s="162"/>
      <c r="D3" s="162"/>
    </row>
    <row r="4" spans="1:4" x14ac:dyDescent="0.2">
      <c r="A4" s="108" t="s">
        <v>59</v>
      </c>
      <c r="B4" s="187" t="s">
        <v>479</v>
      </c>
      <c r="C4" s="87" t="s">
        <v>480</v>
      </c>
      <c r="D4" s="87" t="s">
        <v>481</v>
      </c>
    </row>
    <row r="5" spans="1:4" x14ac:dyDescent="0.2">
      <c r="A5" s="360" t="s">
        <v>268</v>
      </c>
      <c r="B5" s="92" t="str">
        <f>CONCATENATE("Actual for ",D1-2,"")</f>
        <v>Actual for 2022</v>
      </c>
      <c r="C5" s="92" t="str">
        <f>CONCATENATE("Estimate for ",D1-1,"")</f>
        <v>Estimate for 2023</v>
      </c>
      <c r="D5" s="92" t="str">
        <f>CONCATENATE("Year for ",D1,"")</f>
        <v>Year for 2024</v>
      </c>
    </row>
    <row r="6" spans="1:4" x14ac:dyDescent="0.2">
      <c r="A6" s="139" t="s">
        <v>71</v>
      </c>
      <c r="B6" s="52"/>
      <c r="C6" s="52"/>
      <c r="D6" s="52"/>
    </row>
    <row r="7" spans="1:4" x14ac:dyDescent="0.2">
      <c r="A7" s="188" t="s">
        <v>1000</v>
      </c>
      <c r="B7" s="52"/>
      <c r="C7" s="52"/>
      <c r="D7" s="52"/>
    </row>
    <row r="8" spans="1:4" x14ac:dyDescent="0.2">
      <c r="A8" s="189" t="s">
        <v>79</v>
      </c>
      <c r="B8" s="171">
        <v>91545</v>
      </c>
      <c r="C8" s="171">
        <v>172000</v>
      </c>
      <c r="D8" s="171">
        <v>200000</v>
      </c>
    </row>
    <row r="9" spans="1:4" x14ac:dyDescent="0.2">
      <c r="A9" s="189" t="s">
        <v>72</v>
      </c>
      <c r="B9" s="171">
        <f>116102+1830+19-26820-8734</f>
        <v>82397</v>
      </c>
      <c r="C9" s="171"/>
      <c r="D9" s="171"/>
    </row>
    <row r="10" spans="1:4" x14ac:dyDescent="0.2">
      <c r="A10" s="189" t="s">
        <v>73</v>
      </c>
      <c r="B10" s="171">
        <v>11160</v>
      </c>
      <c r="C10" s="171"/>
      <c r="D10" s="171"/>
    </row>
    <row r="11" spans="1:4" x14ac:dyDescent="0.2">
      <c r="A11" s="189" t="s">
        <v>74</v>
      </c>
      <c r="B11" s="171"/>
      <c r="C11" s="171"/>
      <c r="D11" s="171"/>
    </row>
    <row r="12" spans="1:4" x14ac:dyDescent="0.2">
      <c r="A12" s="189"/>
      <c r="B12" s="171"/>
      <c r="C12" s="171"/>
      <c r="D12" s="171"/>
    </row>
    <row r="13" spans="1:4" x14ac:dyDescent="0.2">
      <c r="A13" s="41"/>
      <c r="B13" s="171"/>
      <c r="C13" s="171"/>
      <c r="D13" s="171"/>
    </row>
    <row r="14" spans="1:4" x14ac:dyDescent="0.2">
      <c r="A14" s="41"/>
      <c r="B14" s="171"/>
      <c r="C14" s="171"/>
      <c r="D14" s="171"/>
    </row>
    <row r="15" spans="1:4" x14ac:dyDescent="0.2">
      <c r="A15" s="139" t="s">
        <v>35</v>
      </c>
      <c r="B15" s="176">
        <f>SUM(B8:B14)</f>
        <v>185102</v>
      </c>
      <c r="C15" s="176">
        <f>SUM(C8:C14)</f>
        <v>172000</v>
      </c>
      <c r="D15" s="176">
        <f>SUM(D8:D14)</f>
        <v>200000</v>
      </c>
    </row>
    <row r="16" spans="1:4" x14ac:dyDescent="0.2">
      <c r="A16" s="190" t="s">
        <v>1001</v>
      </c>
      <c r="B16" s="47"/>
      <c r="C16" s="47"/>
      <c r="D16" s="47"/>
    </row>
    <row r="17" spans="1:4" x14ac:dyDescent="0.2">
      <c r="A17" s="189" t="s">
        <v>79</v>
      </c>
      <c r="B17" s="171">
        <v>4273</v>
      </c>
      <c r="C17" s="171">
        <v>7500</v>
      </c>
      <c r="D17" s="171">
        <v>10000</v>
      </c>
    </row>
    <row r="18" spans="1:4" x14ac:dyDescent="0.2">
      <c r="A18" s="189" t="s">
        <v>72</v>
      </c>
      <c r="B18" s="171">
        <v>344</v>
      </c>
      <c r="C18" s="171"/>
      <c r="D18" s="171"/>
    </row>
    <row r="19" spans="1:4" x14ac:dyDescent="0.2">
      <c r="A19" s="189" t="s">
        <v>73</v>
      </c>
      <c r="B19" s="171"/>
      <c r="C19" s="171"/>
      <c r="D19" s="171"/>
    </row>
    <row r="20" spans="1:4" x14ac:dyDescent="0.2">
      <c r="A20" s="189" t="s">
        <v>74</v>
      </c>
      <c r="B20" s="171"/>
      <c r="C20" s="171"/>
      <c r="D20" s="171"/>
    </row>
    <row r="21" spans="1:4" x14ac:dyDescent="0.2">
      <c r="A21" s="189"/>
      <c r="B21" s="171"/>
      <c r="C21" s="171"/>
      <c r="D21" s="171"/>
    </row>
    <row r="22" spans="1:4" x14ac:dyDescent="0.2">
      <c r="A22" s="139" t="s">
        <v>35</v>
      </c>
      <c r="B22" s="176">
        <f>SUM(B17:B21)</f>
        <v>4617</v>
      </c>
      <c r="C22" s="176">
        <f>SUM(C17:C21)</f>
        <v>7500</v>
      </c>
      <c r="D22" s="176">
        <f>SUM(D17:D21)</f>
        <v>10000</v>
      </c>
    </row>
    <row r="23" spans="1:4" x14ac:dyDescent="0.2">
      <c r="A23" s="190" t="s">
        <v>1002</v>
      </c>
      <c r="B23" s="47"/>
      <c r="C23" s="47"/>
      <c r="D23" s="47"/>
    </row>
    <row r="24" spans="1:4" x14ac:dyDescent="0.2">
      <c r="A24" s="189" t="s">
        <v>79</v>
      </c>
      <c r="B24" s="171">
        <v>87434</v>
      </c>
      <c r="C24" s="171">
        <v>120000</v>
      </c>
      <c r="D24" s="171">
        <v>150000</v>
      </c>
    </row>
    <row r="25" spans="1:4" x14ac:dyDescent="0.2">
      <c r="A25" s="189" t="s">
        <v>72</v>
      </c>
      <c r="B25" s="171">
        <v>9517</v>
      </c>
      <c r="C25" s="171"/>
      <c r="D25" s="171"/>
    </row>
    <row r="26" spans="1:4" x14ac:dyDescent="0.2">
      <c r="A26" s="189" t="s">
        <v>73</v>
      </c>
      <c r="B26" s="171">
        <v>1391</v>
      </c>
      <c r="C26" s="171"/>
      <c r="D26" s="171"/>
    </row>
    <row r="27" spans="1:4" x14ac:dyDescent="0.2">
      <c r="A27" s="189" t="s">
        <v>74</v>
      </c>
      <c r="B27" s="171"/>
      <c r="C27" s="171"/>
      <c r="D27" s="171"/>
    </row>
    <row r="28" spans="1:4" x14ac:dyDescent="0.2">
      <c r="A28" s="189"/>
      <c r="B28" s="171"/>
      <c r="C28" s="171"/>
      <c r="D28" s="171"/>
    </row>
    <row r="29" spans="1:4" x14ac:dyDescent="0.2">
      <c r="A29" s="139" t="s">
        <v>35</v>
      </c>
      <c r="B29" s="176">
        <f>SUM(B24:B28)</f>
        <v>98342</v>
      </c>
      <c r="C29" s="176">
        <f>SUM(C24:C28)</f>
        <v>120000</v>
      </c>
      <c r="D29" s="176">
        <f>SUM(D24:D28)</f>
        <v>150000</v>
      </c>
    </row>
    <row r="30" spans="1:4" x14ac:dyDescent="0.2">
      <c r="A30" s="190" t="s">
        <v>1003</v>
      </c>
      <c r="B30" s="47"/>
      <c r="C30" s="47"/>
      <c r="D30" s="47"/>
    </row>
    <row r="31" spans="1:4" x14ac:dyDescent="0.2">
      <c r="A31" s="189" t="s">
        <v>79</v>
      </c>
      <c r="B31" s="171">
        <v>37197</v>
      </c>
      <c r="C31" s="171">
        <v>50000</v>
      </c>
      <c r="D31" s="171">
        <v>50000</v>
      </c>
    </row>
    <row r="32" spans="1:4" x14ac:dyDescent="0.2">
      <c r="A32" s="189" t="s">
        <v>72</v>
      </c>
      <c r="B32" s="171">
        <v>21910</v>
      </c>
      <c r="C32" s="171"/>
      <c r="D32" s="171"/>
    </row>
    <row r="33" spans="1:4" x14ac:dyDescent="0.2">
      <c r="A33" s="189" t="s">
        <v>73</v>
      </c>
      <c r="B33" s="171"/>
      <c r="C33" s="171"/>
      <c r="D33" s="171"/>
    </row>
    <row r="34" spans="1:4" x14ac:dyDescent="0.2">
      <c r="A34" s="189" t="s">
        <v>74</v>
      </c>
      <c r="B34" s="171"/>
      <c r="C34" s="171"/>
      <c r="D34" s="171"/>
    </row>
    <row r="35" spans="1:4" x14ac:dyDescent="0.2">
      <c r="A35" s="139" t="s">
        <v>35</v>
      </c>
      <c r="B35" s="176">
        <f>SUM(B31:B34)</f>
        <v>59107</v>
      </c>
      <c r="C35" s="176">
        <f>SUM(C31:C34)</f>
        <v>50000</v>
      </c>
      <c r="D35" s="176">
        <f>SUM(D31:D34)</f>
        <v>50000</v>
      </c>
    </row>
    <row r="36" spans="1:4" x14ac:dyDescent="0.2">
      <c r="A36" s="190" t="s">
        <v>1004</v>
      </c>
      <c r="B36" s="47"/>
      <c r="C36" s="47"/>
      <c r="D36" s="47"/>
    </row>
    <row r="37" spans="1:4" x14ac:dyDescent="0.2">
      <c r="A37" s="189" t="s">
        <v>79</v>
      </c>
      <c r="B37" s="171">
        <v>344030</v>
      </c>
      <c r="C37" s="171">
        <v>524401</v>
      </c>
      <c r="D37" s="171">
        <v>411860</v>
      </c>
    </row>
    <row r="38" spans="1:4" x14ac:dyDescent="0.2">
      <c r="A38" s="189" t="s">
        <v>72</v>
      </c>
      <c r="B38" s="171">
        <v>56445</v>
      </c>
      <c r="C38" s="171"/>
      <c r="D38" s="171">
        <f>7000+5000+1750+1500+8000+5000+3600</f>
        <v>31850</v>
      </c>
    </row>
    <row r="39" spans="1:4" x14ac:dyDescent="0.2">
      <c r="A39" s="189" t="s">
        <v>73</v>
      </c>
      <c r="B39" s="171">
        <v>79516</v>
      </c>
      <c r="C39" s="171"/>
      <c r="D39" s="171">
        <f>10000+40000+4000+1343+4000+750</f>
        <v>60093</v>
      </c>
    </row>
    <row r="40" spans="1:4" x14ac:dyDescent="0.2">
      <c r="A40" s="189" t="s">
        <v>74</v>
      </c>
      <c r="B40" s="171"/>
      <c r="C40" s="171"/>
      <c r="D40" s="171"/>
    </row>
    <row r="41" spans="1:4" x14ac:dyDescent="0.2">
      <c r="A41" s="189"/>
      <c r="B41" s="171"/>
      <c r="C41" s="171"/>
      <c r="D41" s="171"/>
    </row>
    <row r="42" spans="1:4" x14ac:dyDescent="0.2">
      <c r="A42" s="139" t="s">
        <v>35</v>
      </c>
      <c r="B42" s="176">
        <f>SUM(B37:B41)</f>
        <v>479991</v>
      </c>
      <c r="C42" s="176">
        <f>SUM(C37:C41)</f>
        <v>524401</v>
      </c>
      <c r="D42" s="176">
        <f>SUM(D37:D41)</f>
        <v>503803</v>
      </c>
    </row>
    <row r="43" spans="1:4" x14ac:dyDescent="0.2">
      <c r="A43" s="190" t="s">
        <v>1005</v>
      </c>
      <c r="B43" s="47"/>
      <c r="C43" s="47"/>
      <c r="D43" s="47"/>
    </row>
    <row r="44" spans="1:4" x14ac:dyDescent="0.2">
      <c r="A44" s="189" t="s">
        <v>79</v>
      </c>
      <c r="B44" s="171">
        <v>41536</v>
      </c>
      <c r="C44" s="171">
        <v>185116</v>
      </c>
      <c r="D44" s="171">
        <v>191000</v>
      </c>
    </row>
    <row r="45" spans="1:4" x14ac:dyDescent="0.2">
      <c r="A45" s="189" t="s">
        <v>72</v>
      </c>
      <c r="B45" s="171">
        <f>1129+19975</f>
        <v>21104</v>
      </c>
      <c r="C45" s="171"/>
      <c r="D45" s="171"/>
    </row>
    <row r="46" spans="1:4" x14ac:dyDescent="0.2">
      <c r="A46" s="189" t="s">
        <v>73</v>
      </c>
      <c r="B46" s="171">
        <v>101335</v>
      </c>
      <c r="C46" s="171"/>
      <c r="D46" s="171"/>
    </row>
    <row r="47" spans="1:4" x14ac:dyDescent="0.2">
      <c r="A47" s="189" t="s">
        <v>1052</v>
      </c>
      <c r="B47" s="171"/>
      <c r="C47" s="171"/>
      <c r="D47" s="171"/>
    </row>
    <row r="48" spans="1:4" x14ac:dyDescent="0.2">
      <c r="A48" s="189"/>
      <c r="B48" s="171"/>
      <c r="C48" s="171"/>
      <c r="D48" s="171"/>
    </row>
    <row r="49" spans="1:4" x14ac:dyDescent="0.2">
      <c r="A49" s="139" t="s">
        <v>35</v>
      </c>
      <c r="B49" s="176">
        <f>SUM(B44:B48)</f>
        <v>163975</v>
      </c>
      <c r="C49" s="176">
        <f>SUM(C44:C48)</f>
        <v>185116</v>
      </c>
      <c r="D49" s="176">
        <f>SUM(D44:D48)</f>
        <v>191000</v>
      </c>
    </row>
    <row r="50" spans="1:4" x14ac:dyDescent="0.2">
      <c r="A50" s="190" t="s">
        <v>1006</v>
      </c>
      <c r="B50" s="47"/>
      <c r="C50" s="47"/>
      <c r="D50" s="47"/>
    </row>
    <row r="51" spans="1:4" x14ac:dyDescent="0.2">
      <c r="A51" s="189" t="s">
        <v>79</v>
      </c>
      <c r="B51" s="171">
        <v>12613</v>
      </c>
      <c r="C51" s="171">
        <v>35400</v>
      </c>
      <c r="D51" s="171">
        <v>36460</v>
      </c>
    </row>
    <row r="52" spans="1:4" x14ac:dyDescent="0.2">
      <c r="A52" s="189" t="s">
        <v>72</v>
      </c>
      <c r="B52" s="171">
        <v>3239</v>
      </c>
      <c r="C52" s="171"/>
      <c r="D52" s="171"/>
    </row>
    <row r="53" spans="1:4" x14ac:dyDescent="0.2">
      <c r="A53" s="189" t="s">
        <v>73</v>
      </c>
      <c r="B53" s="171">
        <v>5038</v>
      </c>
      <c r="C53" s="171"/>
      <c r="D53" s="171"/>
    </row>
    <row r="54" spans="1:4" x14ac:dyDescent="0.2">
      <c r="A54" s="189" t="s">
        <v>74</v>
      </c>
      <c r="B54" s="171"/>
      <c r="C54" s="171"/>
      <c r="D54" s="171"/>
    </row>
    <row r="55" spans="1:4" x14ac:dyDescent="0.2">
      <c r="A55" s="189"/>
      <c r="B55" s="171"/>
      <c r="C55" s="171"/>
      <c r="D55" s="171"/>
    </row>
    <row r="56" spans="1:4" x14ac:dyDescent="0.2">
      <c r="A56" s="139" t="s">
        <v>35</v>
      </c>
      <c r="B56" s="176">
        <f>SUM(B51:B55)</f>
        <v>20890</v>
      </c>
      <c r="C56" s="176">
        <f>SUM(C51:C55)</f>
        <v>35400</v>
      </c>
      <c r="D56" s="176">
        <f>SUM(D51:D55)</f>
        <v>36460</v>
      </c>
    </row>
    <row r="57" spans="1:4" x14ac:dyDescent="0.2">
      <c r="A57" s="190" t="s">
        <v>1007</v>
      </c>
      <c r="B57" s="47"/>
      <c r="C57" s="47"/>
      <c r="D57" s="47"/>
    </row>
    <row r="58" spans="1:4" x14ac:dyDescent="0.2">
      <c r="A58" s="189" t="s">
        <v>79</v>
      </c>
      <c r="B58" s="171">
        <v>45989</v>
      </c>
      <c r="C58" s="171">
        <v>32250</v>
      </c>
      <c r="D58" s="171">
        <v>33800</v>
      </c>
    </row>
    <row r="59" spans="1:4" x14ac:dyDescent="0.2">
      <c r="A59" s="189" t="s">
        <v>72</v>
      </c>
      <c r="B59" s="171">
        <v>9289</v>
      </c>
      <c r="C59" s="171"/>
      <c r="D59" s="171"/>
    </row>
    <row r="60" spans="1:4" x14ac:dyDescent="0.2">
      <c r="A60" s="189" t="s">
        <v>73</v>
      </c>
      <c r="B60" s="171">
        <v>3368</v>
      </c>
      <c r="C60" s="171"/>
      <c r="D60" s="171"/>
    </row>
    <row r="61" spans="1:4" x14ac:dyDescent="0.2">
      <c r="A61" s="189" t="s">
        <v>74</v>
      </c>
      <c r="B61" s="171"/>
      <c r="C61" s="171"/>
      <c r="D61" s="171"/>
    </row>
    <row r="62" spans="1:4" x14ac:dyDescent="0.2">
      <c r="A62" s="189"/>
      <c r="B62" s="171"/>
      <c r="C62" s="171"/>
      <c r="D62" s="171"/>
    </row>
    <row r="63" spans="1:4" x14ac:dyDescent="0.2">
      <c r="A63" s="139" t="s">
        <v>35</v>
      </c>
      <c r="B63" s="176">
        <f>SUM(B58:B62)</f>
        <v>58646</v>
      </c>
      <c r="C63" s="176">
        <f>SUM(C58:C62)</f>
        <v>32250</v>
      </c>
      <c r="D63" s="176">
        <f>SUM(D58:D62)</f>
        <v>33800</v>
      </c>
    </row>
    <row r="64" spans="1:4" x14ac:dyDescent="0.2">
      <c r="A64" s="28"/>
      <c r="B64" s="47"/>
      <c r="C64" s="47"/>
      <c r="D64" s="47"/>
    </row>
    <row r="65" spans="1:4" ht="16.5" thickBot="1" x14ac:dyDescent="0.25">
      <c r="A65" s="139" t="s">
        <v>264</v>
      </c>
      <c r="B65" s="191">
        <f>B15+B22+B29+B35+B42+B49+B56+B63</f>
        <v>1070670</v>
      </c>
      <c r="C65" s="191">
        <f>C15+C22+C29+C35+C42+C49+C56+C63</f>
        <v>1126667</v>
      </c>
      <c r="D65" s="191">
        <f>D15+D22+D29+D35+D42+D49+D56+D63</f>
        <v>1175063</v>
      </c>
    </row>
    <row r="66" spans="1:4" ht="16.5" thickTop="1" x14ac:dyDescent="0.2">
      <c r="A66" s="78"/>
      <c r="B66" s="47"/>
      <c r="C66" s="47"/>
      <c r="D66" s="47"/>
    </row>
    <row r="67" spans="1:4" x14ac:dyDescent="0.2">
      <c r="A67" s="272" t="s">
        <v>78</v>
      </c>
      <c r="B67" s="47" t="str">
        <f>CONCATENATE("",General!C57,"b")</f>
        <v>7b</v>
      </c>
      <c r="C67" s="47"/>
      <c r="D67" s="47"/>
    </row>
    <row r="68" spans="1:4" x14ac:dyDescent="0.2">
      <c r="A68" s="28"/>
      <c r="B68" s="47"/>
      <c r="C68" s="47"/>
      <c r="D68" s="47"/>
    </row>
    <row r="69" spans="1:4" x14ac:dyDescent="0.2">
      <c r="A69" s="47" t="str">
        <f>A1</f>
        <v>Wellsville</v>
      </c>
      <c r="B69" s="28"/>
      <c r="C69" s="108"/>
      <c r="D69" s="28">
        <f>D1</f>
        <v>2024</v>
      </c>
    </row>
    <row r="70" spans="1:4" x14ac:dyDescent="0.2">
      <c r="A70" s="28"/>
      <c r="B70" s="28"/>
      <c r="C70" s="28"/>
      <c r="D70" s="108"/>
    </row>
    <row r="71" spans="1:4" x14ac:dyDescent="0.2">
      <c r="A71" s="161"/>
      <c r="B71" s="135"/>
      <c r="C71" s="135"/>
      <c r="D71" s="135"/>
    </row>
    <row r="72" spans="1:4" x14ac:dyDescent="0.2">
      <c r="A72" s="444" t="s">
        <v>59</v>
      </c>
      <c r="B72" s="359" t="str">
        <f t="shared" ref="B72:D73" si="0">B4</f>
        <v xml:space="preserve">Prior Year </v>
      </c>
      <c r="C72" s="445" t="str">
        <f t="shared" si="0"/>
        <v xml:space="preserve">Current Year </v>
      </c>
      <c r="D72" s="358" t="str">
        <f t="shared" si="0"/>
        <v xml:space="preserve">Proposed Budget </v>
      </c>
    </row>
    <row r="73" spans="1:4" x14ac:dyDescent="0.2">
      <c r="A73" s="360" t="s">
        <v>269</v>
      </c>
      <c r="B73" s="92" t="str">
        <f t="shared" si="0"/>
        <v>Actual for 2022</v>
      </c>
      <c r="C73" s="92" t="str">
        <f t="shared" si="0"/>
        <v>Estimate for 2023</v>
      </c>
      <c r="D73" s="92" t="str">
        <f t="shared" si="0"/>
        <v>Year for 2024</v>
      </c>
    </row>
    <row r="74" spans="1:4" x14ac:dyDescent="0.2">
      <c r="A74" s="139" t="s">
        <v>71</v>
      </c>
      <c r="B74" s="52"/>
      <c r="C74" s="52"/>
      <c r="D74" s="52"/>
    </row>
    <row r="75" spans="1:4" x14ac:dyDescent="0.2">
      <c r="A75" s="188"/>
      <c r="B75" s="52"/>
      <c r="C75" s="52"/>
      <c r="D75" s="52"/>
    </row>
    <row r="76" spans="1:4" x14ac:dyDescent="0.2">
      <c r="A76" s="189" t="s">
        <v>79</v>
      </c>
      <c r="B76" s="171"/>
      <c r="C76" s="171"/>
      <c r="D76" s="171"/>
    </row>
    <row r="77" spans="1:4" x14ac:dyDescent="0.2">
      <c r="A77" s="189" t="s">
        <v>72</v>
      </c>
      <c r="B77" s="171"/>
      <c r="C77" s="171"/>
      <c r="D77" s="171"/>
    </row>
    <row r="78" spans="1:4" x14ac:dyDescent="0.2">
      <c r="A78" s="189" t="s">
        <v>73</v>
      </c>
      <c r="B78" s="171"/>
      <c r="C78" s="171"/>
      <c r="D78" s="171"/>
    </row>
    <row r="79" spans="1:4" x14ac:dyDescent="0.2">
      <c r="A79" s="189" t="s">
        <v>74</v>
      </c>
      <c r="B79" s="171"/>
      <c r="C79" s="171"/>
      <c r="D79" s="171"/>
    </row>
    <row r="80" spans="1:4" x14ac:dyDescent="0.2">
      <c r="A80" s="41"/>
      <c r="B80" s="171"/>
      <c r="C80" s="171"/>
      <c r="D80" s="171"/>
    </row>
    <row r="81" spans="1:4" x14ac:dyDescent="0.2">
      <c r="A81" s="139" t="s">
        <v>35</v>
      </c>
      <c r="B81" s="176">
        <f>SUM(B76:B80)</f>
        <v>0</v>
      </c>
      <c r="C81" s="176">
        <f>SUM(C76:C80)</f>
        <v>0</v>
      </c>
      <c r="D81" s="176">
        <f>SUM(D76:D80)</f>
        <v>0</v>
      </c>
    </row>
    <row r="82" spans="1:4" x14ac:dyDescent="0.2">
      <c r="A82" s="190"/>
      <c r="B82" s="47"/>
      <c r="C82" s="47"/>
      <c r="D82" s="47"/>
    </row>
    <row r="83" spans="1:4" x14ac:dyDescent="0.2">
      <c r="A83" s="189" t="s">
        <v>79</v>
      </c>
      <c r="B83" s="171"/>
      <c r="C83" s="171"/>
      <c r="D83" s="171"/>
    </row>
    <row r="84" spans="1:4" x14ac:dyDescent="0.2">
      <c r="A84" s="189" t="s">
        <v>72</v>
      </c>
      <c r="B84" s="171"/>
      <c r="C84" s="171"/>
      <c r="D84" s="171"/>
    </row>
    <row r="85" spans="1:4" x14ac:dyDescent="0.2">
      <c r="A85" s="189" t="s">
        <v>73</v>
      </c>
      <c r="B85" s="171"/>
      <c r="C85" s="171"/>
      <c r="D85" s="171"/>
    </row>
    <row r="86" spans="1:4" x14ac:dyDescent="0.2">
      <c r="A86" s="189" t="s">
        <v>74</v>
      </c>
      <c r="B86" s="171"/>
      <c r="C86" s="171"/>
      <c r="D86" s="171"/>
    </row>
    <row r="87" spans="1:4" x14ac:dyDescent="0.2">
      <c r="A87" s="189"/>
      <c r="B87" s="171"/>
      <c r="C87" s="171"/>
      <c r="D87" s="171"/>
    </row>
    <row r="88" spans="1:4" x14ac:dyDescent="0.2">
      <c r="A88" s="139" t="s">
        <v>35</v>
      </c>
      <c r="B88" s="176">
        <f>SUM(B83:B87)</f>
        <v>0</v>
      </c>
      <c r="C88" s="176">
        <f>SUM(C83:C87)</f>
        <v>0</v>
      </c>
      <c r="D88" s="176">
        <f>SUM(D83:D87)</f>
        <v>0</v>
      </c>
    </row>
    <row r="89" spans="1:4" x14ac:dyDescent="0.2">
      <c r="A89" s="190"/>
      <c r="B89" s="47"/>
      <c r="C89" s="47"/>
      <c r="D89" s="47"/>
    </row>
    <row r="90" spans="1:4" x14ac:dyDescent="0.2">
      <c r="A90" s="189" t="s">
        <v>79</v>
      </c>
      <c r="B90" s="171"/>
      <c r="C90" s="171"/>
      <c r="D90" s="171"/>
    </row>
    <row r="91" spans="1:4" x14ac:dyDescent="0.2">
      <c r="A91" s="189" t="s">
        <v>72</v>
      </c>
      <c r="B91" s="171"/>
      <c r="C91" s="171"/>
      <c r="D91" s="171"/>
    </row>
    <row r="92" spans="1:4" x14ac:dyDescent="0.2">
      <c r="A92" s="189" t="s">
        <v>73</v>
      </c>
      <c r="B92" s="171"/>
      <c r="C92" s="171"/>
      <c r="D92" s="171"/>
    </row>
    <row r="93" spans="1:4" x14ac:dyDescent="0.2">
      <c r="A93" s="189" t="s">
        <v>74</v>
      </c>
      <c r="B93" s="171"/>
      <c r="C93" s="171"/>
      <c r="D93" s="171"/>
    </row>
    <row r="94" spans="1:4" x14ac:dyDescent="0.2">
      <c r="A94" s="189"/>
      <c r="B94" s="171"/>
      <c r="C94" s="171"/>
      <c r="D94" s="171"/>
    </row>
    <row r="95" spans="1:4" x14ac:dyDescent="0.2">
      <c r="A95" s="139" t="s">
        <v>35</v>
      </c>
      <c r="B95" s="176">
        <f>SUM(B90:B94)</f>
        <v>0</v>
      </c>
      <c r="C95" s="176">
        <f>SUM(C90:C94)</f>
        <v>0</v>
      </c>
      <c r="D95" s="176">
        <f>SUM(D90:D94)</f>
        <v>0</v>
      </c>
    </row>
    <row r="96" spans="1:4" x14ac:dyDescent="0.2">
      <c r="A96" s="190"/>
      <c r="B96" s="47"/>
      <c r="C96" s="47"/>
      <c r="D96" s="47"/>
    </row>
    <row r="97" spans="1:4" x14ac:dyDescent="0.2">
      <c r="A97" s="189" t="s">
        <v>79</v>
      </c>
      <c r="B97" s="171"/>
      <c r="C97" s="171"/>
      <c r="D97" s="171"/>
    </row>
    <row r="98" spans="1:4" x14ac:dyDescent="0.2">
      <c r="A98" s="189" t="s">
        <v>72</v>
      </c>
      <c r="B98" s="171"/>
      <c r="C98" s="171"/>
      <c r="D98" s="171"/>
    </row>
    <row r="99" spans="1:4" x14ac:dyDescent="0.2">
      <c r="A99" s="189" t="s">
        <v>73</v>
      </c>
      <c r="B99" s="171"/>
      <c r="C99" s="171"/>
      <c r="D99" s="171"/>
    </row>
    <row r="100" spans="1:4" x14ac:dyDescent="0.2">
      <c r="A100" s="189" t="s">
        <v>74</v>
      </c>
      <c r="B100" s="171"/>
      <c r="C100" s="171"/>
      <c r="D100" s="171"/>
    </row>
    <row r="101" spans="1:4" x14ac:dyDescent="0.2">
      <c r="A101" s="139" t="s">
        <v>35</v>
      </c>
      <c r="B101" s="176">
        <f>SUM(B97:B100)</f>
        <v>0</v>
      </c>
      <c r="C101" s="176">
        <f>SUM(C97:C100)</f>
        <v>0</v>
      </c>
      <c r="D101" s="176">
        <f>SUM(D97:D100)</f>
        <v>0</v>
      </c>
    </row>
    <row r="102" spans="1:4" x14ac:dyDescent="0.2">
      <c r="A102" s="190"/>
      <c r="B102" s="47"/>
      <c r="C102" s="47"/>
      <c r="D102" s="47"/>
    </row>
    <row r="103" spans="1:4" x14ac:dyDescent="0.2">
      <c r="A103" s="189" t="s">
        <v>79</v>
      </c>
      <c r="B103" s="171"/>
      <c r="C103" s="171"/>
      <c r="D103" s="171"/>
    </row>
    <row r="104" spans="1:4" x14ac:dyDescent="0.2">
      <c r="A104" s="189" t="s">
        <v>72</v>
      </c>
      <c r="B104" s="171"/>
      <c r="C104" s="171"/>
      <c r="D104" s="171"/>
    </row>
    <row r="105" spans="1:4" x14ac:dyDescent="0.2">
      <c r="A105" s="189" t="s">
        <v>73</v>
      </c>
      <c r="B105" s="171"/>
      <c r="C105" s="171"/>
      <c r="D105" s="171"/>
    </row>
    <row r="106" spans="1:4" x14ac:dyDescent="0.2">
      <c r="A106" s="189" t="s">
        <v>74</v>
      </c>
      <c r="B106" s="171"/>
      <c r="C106" s="171"/>
      <c r="D106" s="171"/>
    </row>
    <row r="107" spans="1:4" x14ac:dyDescent="0.2">
      <c r="A107" s="189"/>
      <c r="B107" s="171"/>
      <c r="C107" s="171"/>
      <c r="D107" s="171"/>
    </row>
    <row r="108" spans="1:4" x14ac:dyDescent="0.2">
      <c r="A108" s="139" t="s">
        <v>35</v>
      </c>
      <c r="B108" s="176">
        <f>SUM(B103:B107)</f>
        <v>0</v>
      </c>
      <c r="C108" s="176">
        <f>SUM(C103:C107)</f>
        <v>0</v>
      </c>
      <c r="D108" s="176">
        <f>SUM(D103:D107)</f>
        <v>0</v>
      </c>
    </row>
    <row r="109" spans="1:4" x14ac:dyDescent="0.2">
      <c r="A109" s="190"/>
      <c r="B109" s="47"/>
      <c r="C109" s="47"/>
      <c r="D109" s="47"/>
    </row>
    <row r="110" spans="1:4" x14ac:dyDescent="0.2">
      <c r="A110" s="189" t="s">
        <v>79</v>
      </c>
      <c r="B110" s="171"/>
      <c r="C110" s="171"/>
      <c r="D110" s="171"/>
    </row>
    <row r="111" spans="1:4" x14ac:dyDescent="0.2">
      <c r="A111" s="189" t="s">
        <v>72</v>
      </c>
      <c r="B111" s="171"/>
      <c r="C111" s="171"/>
      <c r="D111" s="171"/>
    </row>
    <row r="112" spans="1:4" x14ac:dyDescent="0.2">
      <c r="A112" s="189" t="s">
        <v>73</v>
      </c>
      <c r="B112" s="171"/>
      <c r="C112" s="171"/>
      <c r="D112" s="171"/>
    </row>
    <row r="113" spans="1:4" x14ac:dyDescent="0.2">
      <c r="A113" s="189" t="s">
        <v>74</v>
      </c>
      <c r="B113" s="171"/>
      <c r="C113" s="171"/>
      <c r="D113" s="171"/>
    </row>
    <row r="114" spans="1:4" x14ac:dyDescent="0.2">
      <c r="A114" s="189"/>
      <c r="B114" s="171"/>
      <c r="C114" s="171"/>
      <c r="D114" s="171"/>
    </row>
    <row r="115" spans="1:4" x14ac:dyDescent="0.2">
      <c r="A115" s="139" t="s">
        <v>35</v>
      </c>
      <c r="B115" s="176">
        <f>SUM(B110:B114)</f>
        <v>0</v>
      </c>
      <c r="C115" s="176">
        <f>SUM(C110:C114)</f>
        <v>0</v>
      </c>
      <c r="D115" s="176">
        <f>SUM(D110:D114)</f>
        <v>0</v>
      </c>
    </row>
    <row r="116" spans="1:4" x14ac:dyDescent="0.2">
      <c r="A116" s="190"/>
      <c r="B116" s="47"/>
      <c r="C116" s="47"/>
      <c r="D116" s="47"/>
    </row>
    <row r="117" spans="1:4" x14ac:dyDescent="0.2">
      <c r="A117" s="189" t="s">
        <v>79</v>
      </c>
      <c r="B117" s="171"/>
      <c r="C117" s="171"/>
      <c r="D117" s="171"/>
    </row>
    <row r="118" spans="1:4" x14ac:dyDescent="0.2">
      <c r="A118" s="189" t="s">
        <v>72</v>
      </c>
      <c r="B118" s="171"/>
      <c r="C118" s="171"/>
      <c r="D118" s="171"/>
    </row>
    <row r="119" spans="1:4" x14ac:dyDescent="0.2">
      <c r="A119" s="189" t="s">
        <v>73</v>
      </c>
      <c r="B119" s="171"/>
      <c r="C119" s="171"/>
      <c r="D119" s="171"/>
    </row>
    <row r="120" spans="1:4" x14ac:dyDescent="0.2">
      <c r="A120" s="189" t="s">
        <v>74</v>
      </c>
      <c r="B120" s="171"/>
      <c r="C120" s="171"/>
      <c r="D120" s="171"/>
    </row>
    <row r="121" spans="1:4" x14ac:dyDescent="0.2">
      <c r="A121" s="189"/>
      <c r="B121" s="171"/>
      <c r="C121" s="171"/>
      <c r="D121" s="171"/>
    </row>
    <row r="122" spans="1:4" x14ac:dyDescent="0.2">
      <c r="A122" s="139" t="s">
        <v>35</v>
      </c>
      <c r="B122" s="176">
        <f>SUM(B117:B121)</f>
        <v>0</v>
      </c>
      <c r="C122" s="176">
        <f>SUM(C117:C121)</f>
        <v>0</v>
      </c>
      <c r="D122" s="176">
        <f>SUM(D117:D121)</f>
        <v>0</v>
      </c>
    </row>
    <row r="123" spans="1:4" x14ac:dyDescent="0.2">
      <c r="A123" s="190"/>
      <c r="B123" s="47"/>
      <c r="C123" s="47"/>
      <c r="D123" s="47"/>
    </row>
    <row r="124" spans="1:4" x14ac:dyDescent="0.2">
      <c r="A124" s="189" t="s">
        <v>79</v>
      </c>
      <c r="B124" s="171"/>
      <c r="C124" s="171"/>
      <c r="D124" s="171"/>
    </row>
    <row r="125" spans="1:4" x14ac:dyDescent="0.2">
      <c r="A125" s="189" t="s">
        <v>72</v>
      </c>
      <c r="B125" s="171"/>
      <c r="C125" s="171"/>
      <c r="D125" s="171"/>
    </row>
    <row r="126" spans="1:4" x14ac:dyDescent="0.2">
      <c r="A126" s="189" t="s">
        <v>73</v>
      </c>
      <c r="B126" s="171"/>
      <c r="C126" s="171"/>
      <c r="D126" s="171"/>
    </row>
    <row r="127" spans="1:4" x14ac:dyDescent="0.2">
      <c r="A127" s="189" t="s">
        <v>74</v>
      </c>
      <c r="B127" s="171"/>
      <c r="C127" s="171"/>
      <c r="D127" s="171"/>
    </row>
    <row r="128" spans="1:4" x14ac:dyDescent="0.2">
      <c r="A128" s="189"/>
      <c r="B128" s="171"/>
      <c r="C128" s="171"/>
      <c r="D128" s="171"/>
    </row>
    <row r="129" spans="1:4" x14ac:dyDescent="0.2">
      <c r="A129" s="139" t="s">
        <v>35</v>
      </c>
      <c r="B129" s="176">
        <f>SUM(B124:B128)</f>
        <v>0</v>
      </c>
      <c r="C129" s="176">
        <f>SUM(C124:C128)</f>
        <v>0</v>
      </c>
      <c r="D129" s="244">
        <f>SUM(D124:D128)</f>
        <v>0</v>
      </c>
    </row>
    <row r="130" spans="1:4" x14ac:dyDescent="0.2">
      <c r="A130" s="139"/>
      <c r="B130" s="47"/>
      <c r="C130" s="47"/>
      <c r="D130" s="47"/>
    </row>
    <row r="131" spans="1:4" x14ac:dyDescent="0.2">
      <c r="A131" s="38" t="s">
        <v>266</v>
      </c>
      <c r="B131" s="245">
        <f>B81+B88+B95+B101+B108+B115+B122+B129</f>
        <v>0</v>
      </c>
      <c r="C131" s="245">
        <f>C81+C88+C95+C101+C108+C115+C122+C129</f>
        <v>0</v>
      </c>
      <c r="D131" s="245">
        <f>D81+D88+D95+D101+D108+D115+D122+D129</f>
        <v>0</v>
      </c>
    </row>
    <row r="132" spans="1:4" x14ac:dyDescent="0.2">
      <c r="A132" s="139" t="s">
        <v>265</v>
      </c>
      <c r="B132" s="176">
        <f>B65</f>
        <v>1070670</v>
      </c>
      <c r="C132" s="176">
        <f>C65</f>
        <v>1126667</v>
      </c>
      <c r="D132" s="176">
        <f>D65</f>
        <v>1175063</v>
      </c>
    </row>
    <row r="133" spans="1:4" ht="16.5" thickBot="1" x14ac:dyDescent="0.25">
      <c r="A133" s="139" t="s">
        <v>267</v>
      </c>
      <c r="B133" s="191">
        <f>SUM(B131:B132)</f>
        <v>1070670</v>
      </c>
      <c r="C133" s="191">
        <f>SUM(C131:C132)</f>
        <v>1126667</v>
      </c>
      <c r="D133" s="191">
        <f>SUM(D131:D132)</f>
        <v>1175063</v>
      </c>
    </row>
    <row r="134" spans="1:4" ht="16.5" thickTop="1" x14ac:dyDescent="0.2">
      <c r="A134" s="78" t="s">
        <v>17</v>
      </c>
      <c r="B134" s="47"/>
      <c r="C134" s="47"/>
      <c r="D134" s="47"/>
    </row>
    <row r="135" spans="1:4" x14ac:dyDescent="0.2">
      <c r="A135" s="272" t="s">
        <v>78</v>
      </c>
      <c r="B135" s="47" t="str">
        <f>CONCATENATE("",General!C57,"c")</f>
        <v>7c</v>
      </c>
      <c r="C135" s="47"/>
      <c r="D135" s="47"/>
    </row>
  </sheetData>
  <sheetProtection sheet="1"/>
  <phoneticPr fontId="0" type="noConversion"/>
  <pageMargins left="0.5" right="0.5" top="1" bottom="0.5" header="0.5" footer="0.5"/>
  <pageSetup scale="64" fitToHeight="2" orientation="portrait" blackAndWhite="1"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101"/>
  <sheetViews>
    <sheetView topLeftCell="A10" zoomScaleNormal="100" workbookViewId="0">
      <selection activeCell="B64" sqref="B64"/>
    </sheetView>
  </sheetViews>
  <sheetFormatPr defaultColWidth="8.88671875" defaultRowHeight="15.75" x14ac:dyDescent="0.2"/>
  <cols>
    <col min="1" max="1" width="2.44140625" style="26" customWidth="1"/>
    <col min="2" max="2" width="31.109375" style="26" customWidth="1"/>
    <col min="3" max="4" width="15.77734375" style="26" customWidth="1"/>
    <col min="5" max="5" width="16.21875" style="26" customWidth="1"/>
    <col min="6" max="6" width="7.109375" style="26" customWidth="1"/>
    <col min="7" max="7" width="10.21875" style="26" customWidth="1"/>
    <col min="8" max="8" width="8.88671875" style="26"/>
    <col min="9" max="9" width="5.5546875" style="26" customWidth="1"/>
    <col min="10" max="10" width="10" style="26" customWidth="1"/>
    <col min="11" max="16384" width="8.88671875" style="26"/>
  </cols>
  <sheetData>
    <row r="1" spans="2:10" x14ac:dyDescent="0.2">
      <c r="B1" s="270" t="str">
        <f>inputPrYr!D3</f>
        <v>Wellsville</v>
      </c>
      <c r="C1" s="270"/>
      <c r="D1" s="257"/>
      <c r="E1" s="264">
        <f>inputPrYr!C6</f>
        <v>2024</v>
      </c>
    </row>
    <row r="2" spans="2:10" x14ac:dyDescent="0.2">
      <c r="B2" s="257"/>
      <c r="C2" s="257"/>
      <c r="D2" s="257"/>
      <c r="E2" s="272"/>
    </row>
    <row r="3" spans="2:10" x14ac:dyDescent="0.2">
      <c r="B3" s="260" t="s">
        <v>123</v>
      </c>
      <c r="C3" s="260"/>
      <c r="D3" s="273"/>
      <c r="E3" s="265"/>
    </row>
    <row r="4" spans="2:10" x14ac:dyDescent="0.2">
      <c r="B4" s="259" t="s">
        <v>59</v>
      </c>
      <c r="C4" s="442" t="s">
        <v>479</v>
      </c>
      <c r="D4" s="443" t="s">
        <v>480</v>
      </c>
      <c r="E4" s="87" t="s">
        <v>481</v>
      </c>
    </row>
    <row r="5" spans="2:10" x14ac:dyDescent="0.2">
      <c r="B5" s="288" t="s">
        <v>16</v>
      </c>
      <c r="C5" s="138" t="str">
        <f>CONCATENATE("Actual for ",E1-2,"")</f>
        <v>Actual for 2022</v>
      </c>
      <c r="D5" s="138" t="str">
        <f>CONCATENATE("Estimate for ",E1-1,"")</f>
        <v>Estimate for 2023</v>
      </c>
      <c r="E5" s="122" t="str">
        <f>CONCATENATE("Year for ",E1,"")</f>
        <v>Year for 2024</v>
      </c>
    </row>
    <row r="6" spans="2:10" x14ac:dyDescent="0.2">
      <c r="B6" s="266" t="s">
        <v>137</v>
      </c>
      <c r="C6" s="285">
        <v>37969</v>
      </c>
      <c r="D6" s="284">
        <f>C34</f>
        <v>36</v>
      </c>
      <c r="E6" s="267">
        <f>D34</f>
        <v>532</v>
      </c>
    </row>
    <row r="7" spans="2:10" x14ac:dyDescent="0.2">
      <c r="B7" s="266" t="s">
        <v>139</v>
      </c>
      <c r="C7" s="268"/>
      <c r="D7" s="284"/>
      <c r="E7" s="267"/>
    </row>
    <row r="8" spans="2:10" x14ac:dyDescent="0.2">
      <c r="B8" s="266" t="s">
        <v>60</v>
      </c>
      <c r="C8" s="283">
        <v>4520</v>
      </c>
      <c r="D8" s="284">
        <f>IF(inputPrYr!H21,inputPrYr!G23,inputPrYr!E19)</f>
        <v>45021</v>
      </c>
      <c r="E8" s="280" t="s">
        <v>49</v>
      </c>
    </row>
    <row r="9" spans="2:10" x14ac:dyDescent="0.2">
      <c r="B9" s="266" t="s">
        <v>61</v>
      </c>
      <c r="C9" s="283">
        <v>147</v>
      </c>
      <c r="D9" s="286"/>
      <c r="E9" s="261"/>
      <c r="G9" s="718" t="str">
        <f>CONCATENATE("Desired Carryover Into ",E1+1,"")</f>
        <v>Desired Carryover Into 2025</v>
      </c>
      <c r="H9" s="700"/>
      <c r="I9" s="700"/>
      <c r="J9" s="701"/>
    </row>
    <row r="10" spans="2:10" x14ac:dyDescent="0.2">
      <c r="B10" s="266" t="s">
        <v>62</v>
      </c>
      <c r="C10" s="283"/>
      <c r="D10" s="286">
        <v>447</v>
      </c>
      <c r="E10" s="267">
        <f>Mvalloc!D8</f>
        <v>3779</v>
      </c>
      <c r="G10" s="382"/>
      <c r="H10" s="383"/>
      <c r="I10" s="384"/>
      <c r="J10" s="385"/>
    </row>
    <row r="11" spans="2:10" x14ac:dyDescent="0.2">
      <c r="B11" s="266" t="s">
        <v>63</v>
      </c>
      <c r="C11" s="283"/>
      <c r="D11" s="286">
        <v>9</v>
      </c>
      <c r="E11" s="267">
        <f>Mvalloc!E8</f>
        <v>82</v>
      </c>
      <c r="G11" s="386" t="s">
        <v>349</v>
      </c>
      <c r="H11" s="384"/>
      <c r="I11" s="384"/>
      <c r="J11" s="387">
        <v>0</v>
      </c>
    </row>
    <row r="12" spans="2:10" x14ac:dyDescent="0.2">
      <c r="B12" s="269" t="s">
        <v>130</v>
      </c>
      <c r="C12" s="283"/>
      <c r="D12" s="286">
        <v>1</v>
      </c>
      <c r="E12" s="267">
        <f>Mvalloc!F8</f>
        <v>31</v>
      </c>
      <c r="G12" s="382" t="s">
        <v>350</v>
      </c>
      <c r="H12" s="383"/>
      <c r="I12" s="383"/>
      <c r="J12" s="388" t="str">
        <f>IF(J11=0,"",ROUND((J11+E40-G24)/inputOth!E7*1000,3)-G29)</f>
        <v/>
      </c>
    </row>
    <row r="13" spans="2:10" x14ac:dyDescent="0.2">
      <c r="B13" s="508" t="s">
        <v>528</v>
      </c>
      <c r="C13" s="283"/>
      <c r="D13" s="286">
        <v>16</v>
      </c>
      <c r="E13" s="267">
        <f>Mvalloc!G8</f>
        <v>109</v>
      </c>
      <c r="G13" s="389" t="str">
        <f>CONCATENATE("",E1," Tot Exp/Non-Appr Must Be:")</f>
        <v>2024 Tot Exp/Non-Appr Must Be:</v>
      </c>
      <c r="H13" s="390"/>
      <c r="I13" s="391"/>
      <c r="J13" s="392">
        <f>IF(J11&gt;0,IF(E37&lt;E22,IF(J11=G24,E37,((J11-G24)*(1-D39))+E22),E37+(J11-G24)),0)</f>
        <v>0</v>
      </c>
    </row>
    <row r="14" spans="2:10" x14ac:dyDescent="0.2">
      <c r="B14" s="508" t="s">
        <v>529</v>
      </c>
      <c r="C14" s="283"/>
      <c r="D14" s="286">
        <v>2</v>
      </c>
      <c r="E14" s="267">
        <f>Mvalloc!H8</f>
        <v>19</v>
      </c>
      <c r="G14" s="393" t="s">
        <v>423</v>
      </c>
      <c r="H14" s="394"/>
      <c r="I14" s="394"/>
      <c r="J14" s="395">
        <f>IF(J11&gt;0,J13-E37,0)</f>
        <v>0</v>
      </c>
    </row>
    <row r="15" spans="2:10" x14ac:dyDescent="0.2">
      <c r="B15" s="281"/>
      <c r="C15" s="283"/>
      <c r="D15" s="286"/>
      <c r="E15" s="261"/>
      <c r="G15" s="256"/>
      <c r="H15" s="256"/>
      <c r="I15" s="256"/>
    </row>
    <row r="16" spans="2:10" x14ac:dyDescent="0.2">
      <c r="B16" s="281"/>
      <c r="C16" s="283"/>
      <c r="D16" s="286"/>
      <c r="E16" s="261"/>
      <c r="G16" s="718" t="str">
        <f>CONCATENATE("Projected Carryover Into ",E1+1,"")</f>
        <v>Projected Carryover Into 2025</v>
      </c>
      <c r="H16" s="719"/>
      <c r="I16" s="719"/>
      <c r="J16" s="720"/>
    </row>
    <row r="17" spans="2:11" x14ac:dyDescent="0.2">
      <c r="B17" s="278" t="s">
        <v>67</v>
      </c>
      <c r="C17" s="283"/>
      <c r="D17" s="286"/>
      <c r="E17" s="261"/>
      <c r="G17" s="382"/>
      <c r="H17" s="384"/>
      <c r="I17" s="384"/>
      <c r="J17" s="584"/>
    </row>
    <row r="18" spans="2:11" x14ac:dyDescent="0.2">
      <c r="B18" s="279" t="s">
        <v>8</v>
      </c>
      <c r="C18" s="283"/>
      <c r="D18" s="286"/>
      <c r="E18" s="456">
        <f>'NR Rebate'!E7*-1</f>
        <v>0</v>
      </c>
      <c r="G18" s="398">
        <f>D34</f>
        <v>532</v>
      </c>
      <c r="H18" s="376" t="str">
        <f>CONCATENATE("",E1-1," Ending Cash Balance (est.)")</f>
        <v>2023 Ending Cash Balance (est.)</v>
      </c>
      <c r="I18" s="399"/>
      <c r="J18" s="584"/>
    </row>
    <row r="19" spans="2:11" x14ac:dyDescent="0.2">
      <c r="B19" s="266" t="s">
        <v>9</v>
      </c>
      <c r="C19" s="168"/>
      <c r="D19" s="168"/>
      <c r="E19" s="39"/>
      <c r="F19" s="256"/>
      <c r="G19" s="398">
        <f>E21</f>
        <v>4020</v>
      </c>
      <c r="H19" s="384" t="str">
        <f>CONCATENATE("",E1," Non-AV Receipts (est.)")</f>
        <v>2024 Non-AV Receipts (est.)</v>
      </c>
      <c r="I19" s="399"/>
      <c r="J19" s="584"/>
    </row>
    <row r="20" spans="2:11" x14ac:dyDescent="0.2">
      <c r="B20" s="266" t="s">
        <v>352</v>
      </c>
      <c r="C20" s="173" t="str">
        <f>IF(C21*0.1&lt;C19,"Exceed 10% Rule","")</f>
        <v/>
      </c>
      <c r="D20" s="173" t="str">
        <f>IF(D21*0.1&lt;D19,"Exceed 10% Rule","")</f>
        <v/>
      </c>
      <c r="E20" s="204" t="str">
        <f>IF(E21*0.1+E40&lt;E19,"Exceed 10% Rule","")</f>
        <v/>
      </c>
      <c r="F20" s="256"/>
      <c r="G20" s="400">
        <f>IF(E39&gt;0,E38,E40)</f>
        <v>44448</v>
      </c>
      <c r="H20" s="384" t="str">
        <f>CONCATENATE("",E1," Ad Valorem Tax (est.)")</f>
        <v>2024 Ad Valorem Tax (est.)</v>
      </c>
      <c r="I20" s="399"/>
      <c r="J20" s="584"/>
      <c r="K20" s="26" t="str">
        <f>IF(G20=E40,"","Note: Does not include Delinquent Taxes")</f>
        <v>Note: Does not include Delinquent Taxes</v>
      </c>
    </row>
    <row r="21" spans="2:11" x14ac:dyDescent="0.2">
      <c r="B21" s="275" t="s">
        <v>68</v>
      </c>
      <c r="C21" s="287">
        <f>SUM(C8:C19)</f>
        <v>4667</v>
      </c>
      <c r="D21" s="287">
        <f>SUM(D8:D19)</f>
        <v>45496</v>
      </c>
      <c r="E21" s="282">
        <f>SUM(E9:E19)</f>
        <v>4020</v>
      </c>
      <c r="F21" s="256"/>
      <c r="G21" s="398">
        <f>SUM(G18:G20)</f>
        <v>49000</v>
      </c>
      <c r="H21" s="384" t="str">
        <f>CONCATENATE("Total ",E1," Resources Available")</f>
        <v>Total 2024 Resources Available</v>
      </c>
      <c r="I21" s="399"/>
      <c r="J21" s="584"/>
    </row>
    <row r="22" spans="2:11" x14ac:dyDescent="0.2">
      <c r="B22" s="275" t="s">
        <v>69</v>
      </c>
      <c r="C22" s="287">
        <f>SUM(C6+C21)</f>
        <v>42636</v>
      </c>
      <c r="D22" s="287">
        <f>SUM(D6+D21)</f>
        <v>45532</v>
      </c>
      <c r="E22" s="282">
        <f>SUM(E6+E21)</f>
        <v>4552</v>
      </c>
      <c r="F22" s="256"/>
      <c r="G22" s="434"/>
      <c r="H22" s="384"/>
      <c r="I22" s="384"/>
      <c r="J22" s="584"/>
    </row>
    <row r="23" spans="2:11" x14ac:dyDescent="0.2">
      <c r="B23" s="266" t="s">
        <v>71</v>
      </c>
      <c r="C23" s="266"/>
      <c r="D23" s="284"/>
      <c r="E23" s="267"/>
      <c r="F23" s="256"/>
      <c r="G23" s="400">
        <f>C33</f>
        <v>42600</v>
      </c>
      <c r="H23" s="384" t="s">
        <v>725</v>
      </c>
      <c r="I23" s="384"/>
      <c r="J23" s="584"/>
    </row>
    <row r="24" spans="2:11" x14ac:dyDescent="0.2">
      <c r="B24" s="281" t="s">
        <v>1021</v>
      </c>
      <c r="C24" s="297">
        <v>30000</v>
      </c>
      <c r="D24" s="286">
        <v>30000</v>
      </c>
      <c r="E24" s="261">
        <v>34000</v>
      </c>
      <c r="F24" s="256"/>
      <c r="G24" s="435">
        <f>G21-G23</f>
        <v>6400</v>
      </c>
      <c r="H24" s="436" t="str">
        <f>CONCATENATE("Projected ",E1+1," carryover (est.)")</f>
        <v>Projected 2025 carryover (est.)</v>
      </c>
      <c r="I24" s="437"/>
      <c r="J24" s="585"/>
    </row>
    <row r="25" spans="2:11" x14ac:dyDescent="0.2">
      <c r="B25" s="281" t="s">
        <v>1022</v>
      </c>
      <c r="C25" s="297">
        <v>12600</v>
      </c>
      <c r="D25" s="286">
        <v>15000</v>
      </c>
      <c r="E25" s="261">
        <v>15000</v>
      </c>
      <c r="F25" s="256"/>
    </row>
    <row r="26" spans="2:11" x14ac:dyDescent="0.2">
      <c r="B26" s="281" t="s">
        <v>1023</v>
      </c>
      <c r="C26" s="297"/>
      <c r="D26" s="286"/>
      <c r="E26" s="261"/>
      <c r="F26" s="256"/>
      <c r="G26" s="702" t="s">
        <v>722</v>
      </c>
      <c r="H26" s="703"/>
      <c r="I26" s="703"/>
      <c r="J26" s="704"/>
    </row>
    <row r="27" spans="2:11" x14ac:dyDescent="0.2">
      <c r="B27" s="281"/>
      <c r="C27" s="297"/>
      <c r="D27" s="286"/>
      <c r="E27" s="261"/>
      <c r="F27" s="256"/>
      <c r="G27" s="705"/>
      <c r="H27" s="706"/>
      <c r="I27" s="706"/>
      <c r="J27" s="707"/>
    </row>
    <row r="28" spans="2:11" x14ac:dyDescent="0.2">
      <c r="B28" s="281"/>
      <c r="C28" s="297"/>
      <c r="D28" s="286"/>
      <c r="E28" s="261"/>
      <c r="F28" s="256"/>
      <c r="G28" s="577">
        <f>'Summary Budget Hearing Notice'!H16</f>
        <v>2.161</v>
      </c>
      <c r="H28" s="376" t="str">
        <f>CONCATENATE("",E1," Estimated Fund Mill Rate")</f>
        <v>2024 Estimated Fund Mill Rate</v>
      </c>
      <c r="I28" s="578"/>
      <c r="J28" s="579"/>
    </row>
    <row r="29" spans="2:11" x14ac:dyDescent="0.2">
      <c r="B29" s="281"/>
      <c r="C29" s="297"/>
      <c r="D29" s="286"/>
      <c r="E29" s="261"/>
      <c r="F29" s="256"/>
      <c r="G29" s="580">
        <f>'Summary Budget Hearing Notice'!E16</f>
        <v>2.327</v>
      </c>
      <c r="H29" s="376" t="str">
        <f>CONCATENATE("",E1-1," Fund Mill Rate")</f>
        <v>2023 Fund Mill Rate</v>
      </c>
      <c r="I29" s="578"/>
      <c r="J29" s="579"/>
    </row>
    <row r="30" spans="2:11" x14ac:dyDescent="0.2">
      <c r="B30" s="279" t="str">
        <f>CONCATENATE("Cash Basis Reserve (",E1," column)")</f>
        <v>Cash Basis Reserve (2024 column)</v>
      </c>
      <c r="C30" s="297"/>
      <c r="D30" s="286"/>
      <c r="E30" s="261"/>
      <c r="F30" s="256"/>
      <c r="G30" s="581">
        <f>inputOth!D20</f>
        <v>50.973999999999997</v>
      </c>
      <c r="H30" s="582" t="s">
        <v>723</v>
      </c>
      <c r="I30" s="578"/>
      <c r="J30" s="579"/>
    </row>
    <row r="31" spans="2:11" x14ac:dyDescent="0.2">
      <c r="B31" s="279" t="s">
        <v>9</v>
      </c>
      <c r="C31" s="297"/>
      <c r="D31" s="286"/>
      <c r="E31" s="261"/>
      <c r="F31" s="256"/>
      <c r="G31" s="577" t="e">
        <f>'Summary Budget Hearing Notice'!H52</f>
        <v>#REF!</v>
      </c>
      <c r="H31" s="376" t="str">
        <f>CONCATENATE(E1," Estimated Total Mill Rate")</f>
        <v>2024 Estimated Total Mill Rate</v>
      </c>
      <c r="I31" s="578"/>
      <c r="J31" s="579"/>
    </row>
    <row r="32" spans="2:11" x14ac:dyDescent="0.2">
      <c r="B32" s="279" t="s">
        <v>354</v>
      </c>
      <c r="C32" s="173" t="str">
        <f>IF(C33*0.1&lt;C31,"Exceed 10% Rule","")</f>
        <v/>
      </c>
      <c r="D32" s="173" t="str">
        <f>IF(D33*0.1&lt;D31,"Exceed 10% Rule","")</f>
        <v/>
      </c>
      <c r="E32" s="204" t="str">
        <f>IF(E33*0.1&lt;E31,"Exceed 10% Rule","")</f>
        <v/>
      </c>
      <c r="F32" s="256"/>
      <c r="G32" s="583">
        <f>'Summary Budget Hearing Notice'!E52</f>
        <v>54.954999999999991</v>
      </c>
      <c r="H32" s="376" t="str">
        <f>CONCATENATE(E1-1," Total Mill Rate")</f>
        <v>2023 Total Mill Rate</v>
      </c>
      <c r="I32" s="578"/>
      <c r="J32" s="579"/>
    </row>
    <row r="33" spans="2:10" x14ac:dyDescent="0.2">
      <c r="B33" s="275" t="s">
        <v>75</v>
      </c>
      <c r="C33" s="287">
        <f>SUM(C24:C31)</f>
        <v>42600</v>
      </c>
      <c r="D33" s="287">
        <f>SUM(D24:D31)</f>
        <v>45000</v>
      </c>
      <c r="E33" s="282">
        <f>SUM(E24:E31)</f>
        <v>49000</v>
      </c>
      <c r="F33" s="256"/>
      <c r="G33" s="396"/>
      <c r="H33" s="383"/>
      <c r="I33" s="383"/>
      <c r="J33" s="403"/>
    </row>
    <row r="34" spans="2:10" x14ac:dyDescent="0.2">
      <c r="B34" s="266" t="s">
        <v>138</v>
      </c>
      <c r="C34" s="456">
        <f>SUM(C22-C33)</f>
        <v>36</v>
      </c>
      <c r="D34" s="456">
        <f>SUM(D22-D33)</f>
        <v>532</v>
      </c>
      <c r="E34" s="280" t="s">
        <v>49</v>
      </c>
      <c r="F34" s="256"/>
      <c r="G34" s="708" t="s">
        <v>724</v>
      </c>
      <c r="H34" s="709"/>
      <c r="I34" s="709"/>
      <c r="J34" s="712" t="e">
        <f>IF(G31&gt;G30, "Yes", "No")</f>
        <v>#REF!</v>
      </c>
    </row>
    <row r="35" spans="2:10" x14ac:dyDescent="0.2">
      <c r="B35" s="457" t="str">
        <f>CONCATENATE("",E1-2,"/",E1-1,"/",E1," Budget Authority Amount:")</f>
        <v>2022/2023/2024 Budget Authority Amount:</v>
      </c>
      <c r="C35" s="456">
        <f>inputOth!B66</f>
        <v>45000</v>
      </c>
      <c r="D35" s="455">
        <f>inputPrYr!D19</f>
        <v>45000</v>
      </c>
      <c r="E35" s="267">
        <f>E33</f>
        <v>49000</v>
      </c>
      <c r="F35" s="256"/>
      <c r="G35" s="710"/>
      <c r="H35" s="711"/>
      <c r="I35" s="711"/>
      <c r="J35" s="713"/>
    </row>
    <row r="36" spans="2:10" x14ac:dyDescent="0.2">
      <c r="B36" s="271"/>
      <c r="C36" s="695" t="s">
        <v>320</v>
      </c>
      <c r="D36" s="696"/>
      <c r="E36" s="39"/>
      <c r="F36" s="276"/>
      <c r="G36" s="714" t="e">
        <f>IF(J34="Yes", "Follow procedure prescribed by KSA 79-2988 to exceed the Revenue Neutral Rate.", " ")</f>
        <v>#REF!</v>
      </c>
      <c r="H36" s="714"/>
      <c r="I36" s="714"/>
      <c r="J36" s="714"/>
    </row>
    <row r="37" spans="2:10" x14ac:dyDescent="0.2">
      <c r="B37" s="329" t="str">
        <f>CONCATENATE(C98,"     ",D98)</f>
        <v xml:space="preserve">     </v>
      </c>
      <c r="C37" s="697" t="s">
        <v>321</v>
      </c>
      <c r="D37" s="698"/>
      <c r="E37" s="267">
        <f>SUM(E33+E36)</f>
        <v>49000</v>
      </c>
      <c r="F37" s="293" t="str">
        <f>IF(E33/0.95-E33&lt;E36,"Exceeds 5%","")</f>
        <v/>
      </c>
      <c r="G37" s="715"/>
      <c r="H37" s="715"/>
      <c r="I37" s="715"/>
      <c r="J37" s="715"/>
    </row>
    <row r="38" spans="2:10" x14ac:dyDescent="0.2">
      <c r="B38" s="329" t="str">
        <f>CONCATENATE(C99,"     ",D99)</f>
        <v xml:space="preserve">     </v>
      </c>
      <c r="C38" s="277"/>
      <c r="D38" s="272" t="s">
        <v>76</v>
      </c>
      <c r="E38" s="456">
        <f>IF(E37-E22&gt;0,E37-E22,0)</f>
        <v>44448</v>
      </c>
      <c r="F38" s="256"/>
      <c r="G38" s="715"/>
      <c r="H38" s="715"/>
      <c r="I38" s="715"/>
      <c r="J38" s="715"/>
    </row>
    <row r="39" spans="2:10" x14ac:dyDescent="0.2">
      <c r="B39" s="272"/>
      <c r="C39" s="255" t="s">
        <v>319</v>
      </c>
      <c r="D39" s="450">
        <f>inputOth!$E$52</f>
        <v>1.4E-2</v>
      </c>
      <c r="E39" s="267">
        <f>ROUND(IF(D39&gt;0,(E38*D39),0),0)</f>
        <v>622</v>
      </c>
      <c r="F39" s="256"/>
    </row>
    <row r="40" spans="2:10" ht="16.5" thickBot="1" x14ac:dyDescent="0.25">
      <c r="B40" s="257"/>
      <c r="C40" s="716" t="str">
        <f>CONCATENATE("Amount of  ",E1-1," Ad Valorem Tax")</f>
        <v>Amount of  2023 Ad Valorem Tax</v>
      </c>
      <c r="D40" s="717"/>
      <c r="E40" s="379">
        <f>SUM(E38:E39)</f>
        <v>45070</v>
      </c>
      <c r="F40" s="256"/>
    </row>
    <row r="41" spans="2:10" ht="16.5" thickTop="1" x14ac:dyDescent="0.2">
      <c r="B41" s="257"/>
      <c r="C41" s="365"/>
      <c r="D41" s="262"/>
      <c r="E41" s="262"/>
      <c r="F41" s="256"/>
    </row>
    <row r="42" spans="2:10" x14ac:dyDescent="0.2">
      <c r="B42" s="259"/>
      <c r="C42" s="259"/>
      <c r="D42" s="273"/>
      <c r="E42" s="273"/>
      <c r="F42" s="256"/>
    </row>
    <row r="43" spans="2:10" x14ac:dyDescent="0.2">
      <c r="B43" s="259" t="s">
        <v>59</v>
      </c>
      <c r="C43" s="442" t="s">
        <v>479</v>
      </c>
      <c r="D43" s="443" t="s">
        <v>480</v>
      </c>
      <c r="E43" s="87" t="s">
        <v>481</v>
      </c>
      <c r="F43" s="256"/>
    </row>
    <row r="44" spans="2:10" x14ac:dyDescent="0.2">
      <c r="B44" s="289" t="str">
        <f>inputPrYr!B20</f>
        <v>Library</v>
      </c>
      <c r="C44" s="138" t="str">
        <f>CONCATENATE("Actual for ",E1-2,"")</f>
        <v>Actual for 2022</v>
      </c>
      <c r="D44" s="138" t="str">
        <f>CONCATENATE("Estimate for ",E1-1,"")</f>
        <v>Estimate for 2023</v>
      </c>
      <c r="E44" s="122" t="str">
        <f>CONCATENATE("Year for ",E1,"")</f>
        <v>Year for 2024</v>
      </c>
      <c r="F44" s="256"/>
    </row>
    <row r="45" spans="2:10" x14ac:dyDescent="0.2">
      <c r="B45" s="266" t="s">
        <v>137</v>
      </c>
      <c r="C45" s="283">
        <v>571</v>
      </c>
      <c r="D45" s="284">
        <f>C74</f>
        <v>2242</v>
      </c>
      <c r="E45" s="267">
        <f>D74</f>
        <v>4250</v>
      </c>
      <c r="F45" s="256"/>
    </row>
    <row r="46" spans="2:10" x14ac:dyDescent="0.2">
      <c r="B46" s="274" t="s">
        <v>139</v>
      </c>
      <c r="C46" s="266"/>
      <c r="D46" s="284"/>
      <c r="E46" s="267"/>
      <c r="F46" s="256"/>
    </row>
    <row r="47" spans="2:10" x14ac:dyDescent="0.2">
      <c r="B47" s="266" t="s">
        <v>60</v>
      </c>
      <c r="C47" s="283">
        <v>79843</v>
      </c>
      <c r="D47" s="284">
        <f>IF(inputPrYr!H21&gt;0,inputPrYr!G24,inputPrYr!E20)</f>
        <v>92374</v>
      </c>
      <c r="E47" s="280" t="s">
        <v>49</v>
      </c>
      <c r="F47" s="256"/>
    </row>
    <row r="48" spans="2:10" x14ac:dyDescent="0.2">
      <c r="B48" s="266" t="s">
        <v>61</v>
      </c>
      <c r="C48" s="283">
        <v>2803</v>
      </c>
      <c r="D48" s="286">
        <v>1000</v>
      </c>
      <c r="E48" s="261"/>
      <c r="F48" s="256"/>
    </row>
    <row r="49" spans="2:11" x14ac:dyDescent="0.2">
      <c r="B49" s="266" t="s">
        <v>62</v>
      </c>
      <c r="C49" s="283">
        <v>10032</v>
      </c>
      <c r="D49" s="286">
        <v>7908</v>
      </c>
      <c r="E49" s="267">
        <f>Mvalloc!D9</f>
        <v>7754</v>
      </c>
      <c r="F49" s="256"/>
    </row>
    <row r="50" spans="2:11" x14ac:dyDescent="0.2">
      <c r="B50" s="266" t="s">
        <v>63</v>
      </c>
      <c r="C50" s="283">
        <v>228</v>
      </c>
      <c r="D50" s="286">
        <v>167</v>
      </c>
      <c r="E50" s="267">
        <f>Mvalloc!E9</f>
        <v>169</v>
      </c>
      <c r="F50" s="256"/>
    </row>
    <row r="51" spans="2:11" x14ac:dyDescent="0.2">
      <c r="B51" s="269" t="s">
        <v>130</v>
      </c>
      <c r="C51" s="283"/>
      <c r="D51" s="286">
        <v>19</v>
      </c>
      <c r="E51" s="267">
        <f>Mvalloc!F9</f>
        <v>63</v>
      </c>
      <c r="F51" s="256"/>
      <c r="G51" s="718" t="str">
        <f>CONCATENATE("Desired Carryover Into ",E1+1,"")</f>
        <v>Desired Carryover Into 2025</v>
      </c>
      <c r="H51" s="721"/>
      <c r="I51" s="721"/>
      <c r="J51" s="722"/>
    </row>
    <row r="52" spans="2:11" x14ac:dyDescent="0.2">
      <c r="B52" s="508" t="s">
        <v>528</v>
      </c>
      <c r="C52" s="283">
        <v>273</v>
      </c>
      <c r="D52" s="286">
        <v>285</v>
      </c>
      <c r="E52" s="267">
        <f>Mvalloc!G9</f>
        <v>223</v>
      </c>
      <c r="G52" s="382"/>
      <c r="H52" s="383"/>
      <c r="I52" s="384"/>
      <c r="J52" s="385"/>
    </row>
    <row r="53" spans="2:11" x14ac:dyDescent="0.2">
      <c r="B53" s="508" t="s">
        <v>529</v>
      </c>
      <c r="C53" s="283"/>
      <c r="D53" s="286">
        <v>42</v>
      </c>
      <c r="E53" s="267">
        <f>Mvalloc!H9</f>
        <v>39</v>
      </c>
      <c r="G53" s="386" t="s">
        <v>349</v>
      </c>
      <c r="H53" s="384"/>
      <c r="I53" s="384"/>
      <c r="J53" s="387">
        <v>0</v>
      </c>
    </row>
    <row r="54" spans="2:11" x14ac:dyDescent="0.2">
      <c r="B54" s="261"/>
      <c r="C54" s="283"/>
      <c r="D54" s="286"/>
      <c r="E54" s="261"/>
      <c r="G54" s="382" t="s">
        <v>350</v>
      </c>
      <c r="H54" s="383"/>
      <c r="I54" s="383"/>
      <c r="J54" s="388" t="str">
        <f>IF(J53=0,"",ROUND((J53+E80-G66)/inputOth!E7*1000,3)-G71)</f>
        <v/>
      </c>
    </row>
    <row r="55" spans="2:11" x14ac:dyDescent="0.2">
      <c r="B55" s="281"/>
      <c r="C55" s="283"/>
      <c r="D55" s="286"/>
      <c r="E55" s="261"/>
      <c r="G55" s="389" t="str">
        <f>CONCATENATE("",E1," Tot Exp/Non-Appr Must Be:")</f>
        <v>2024 Tot Exp/Non-Appr Must Be:</v>
      </c>
      <c r="H55" s="390"/>
      <c r="I55" s="391"/>
      <c r="J55" s="392">
        <f>IF(J53&gt;0,IF(E77&lt;E62,IF(J53=G66,E77,((J53-G66)*(1-D79))+E62),E77+(J53-G66)),0)</f>
        <v>0</v>
      </c>
    </row>
    <row r="56" spans="2:11" x14ac:dyDescent="0.2">
      <c r="B56" s="281"/>
      <c r="C56" s="283"/>
      <c r="D56" s="286"/>
      <c r="E56" s="261"/>
      <c r="G56" s="393" t="s">
        <v>423</v>
      </c>
      <c r="H56" s="394"/>
      <c r="I56" s="394"/>
      <c r="J56" s="395">
        <f>IF(J53&gt;0,J55-E77,0)</f>
        <v>0</v>
      </c>
    </row>
    <row r="57" spans="2:11" x14ac:dyDescent="0.25">
      <c r="B57" s="278" t="s">
        <v>67</v>
      </c>
      <c r="C57" s="283"/>
      <c r="D57" s="286"/>
      <c r="E57" s="261"/>
      <c r="G57" s="2"/>
      <c r="H57" s="2"/>
      <c r="I57" s="2"/>
      <c r="J57" s="2"/>
    </row>
    <row r="58" spans="2:11" x14ac:dyDescent="0.2">
      <c r="B58" s="269" t="s">
        <v>8</v>
      </c>
      <c r="C58" s="283"/>
      <c r="D58" s="286"/>
      <c r="E58" s="456">
        <f>'NR Rebate'!E8*-1</f>
        <v>0</v>
      </c>
      <c r="G58" s="718" t="str">
        <f>CONCATENATE("Projected Carryover Into ",E1+1,"")</f>
        <v>Projected Carryover Into 2025</v>
      </c>
      <c r="H58" s="723"/>
      <c r="I58" s="723"/>
      <c r="J58" s="720"/>
    </row>
    <row r="59" spans="2:11" x14ac:dyDescent="0.25">
      <c r="B59" s="266" t="s">
        <v>9</v>
      </c>
      <c r="C59" s="283"/>
      <c r="D59" s="168"/>
      <c r="E59" s="39"/>
      <c r="G59" s="396"/>
      <c r="H59" s="383"/>
      <c r="I59" s="383"/>
      <c r="J59" s="397"/>
    </row>
    <row r="60" spans="2:11" x14ac:dyDescent="0.25">
      <c r="B60" s="266" t="s">
        <v>352</v>
      </c>
      <c r="C60" s="173" t="str">
        <f>IF(C61*0.1&lt;C59,"Exceed 10% Rule","")</f>
        <v/>
      </c>
      <c r="D60" s="173" t="str">
        <f>IF(D61*0.1&lt;D59,"Exceed 10% Rule","")</f>
        <v/>
      </c>
      <c r="E60" s="204" t="str">
        <f>IF(E61*0.1+E80&lt;E59,"Exceed 10% Rule","")</f>
        <v/>
      </c>
      <c r="G60" s="398">
        <f>D74</f>
        <v>4250</v>
      </c>
      <c r="H60" s="376" t="str">
        <f>CONCATENATE("",E1-1," Ending Cash Balance (est.)")</f>
        <v>2023 Ending Cash Balance (est.)</v>
      </c>
      <c r="I60" s="399"/>
      <c r="J60" s="397"/>
    </row>
    <row r="61" spans="2:11" x14ac:dyDescent="0.25">
      <c r="B61" s="275" t="s">
        <v>68</v>
      </c>
      <c r="C61" s="592">
        <f>SUM(C47:C59)</f>
        <v>93179</v>
      </c>
      <c r="D61" s="592">
        <f>SUM(D47:D59)</f>
        <v>101795</v>
      </c>
      <c r="E61" s="592">
        <f>SUM(E48:E59)</f>
        <v>8248</v>
      </c>
      <c r="G61" s="398">
        <f>E61</f>
        <v>8248</v>
      </c>
      <c r="H61" s="384" t="str">
        <f>CONCATENATE("",E1," Non-AV Receipts (est.)")</f>
        <v>2024 Non-AV Receipts (est.)</v>
      </c>
      <c r="I61" s="399"/>
      <c r="J61" s="397"/>
      <c r="K61" s="377" t="str">
        <f>IF(G62=E80,"","Note: Does not include Delinquent Taxes")</f>
        <v>Note: Does not include Delinquent Taxes</v>
      </c>
    </row>
    <row r="62" spans="2:11" x14ac:dyDescent="0.25">
      <c r="B62" s="275" t="s">
        <v>69</v>
      </c>
      <c r="C62" s="592">
        <f>SUM(C45+C61)</f>
        <v>93750</v>
      </c>
      <c r="D62" s="592">
        <f>SUM(D45+D61)</f>
        <v>104037</v>
      </c>
      <c r="E62" s="592">
        <f>SUM(E45+E61)</f>
        <v>12498</v>
      </c>
      <c r="G62" s="400">
        <f>IF(E79&gt;0,E78,E80)</f>
        <v>94184</v>
      </c>
      <c r="H62" s="384" t="str">
        <f>CONCATENATE("",E1," Ad Valorem Tax (est.)")</f>
        <v>2024 Ad Valorem Tax (est.)</v>
      </c>
      <c r="I62" s="399"/>
      <c r="J62" s="397"/>
    </row>
    <row r="63" spans="2:11" x14ac:dyDescent="0.25">
      <c r="B63" s="266" t="s">
        <v>71</v>
      </c>
      <c r="C63" s="266"/>
      <c r="D63" s="284"/>
      <c r="E63" s="267"/>
      <c r="G63" s="402">
        <f>SUM(G60:G62)</f>
        <v>106682</v>
      </c>
      <c r="H63" s="384" t="str">
        <f>CONCATENATE("Total ",E1," Resources Available")</f>
        <v>Total 2024 Resources Available</v>
      </c>
      <c r="I63" s="403"/>
      <c r="J63" s="397"/>
    </row>
    <row r="64" spans="2:11" x14ac:dyDescent="0.25">
      <c r="B64" s="281" t="s">
        <v>1032</v>
      </c>
      <c r="C64" s="283">
        <v>91508</v>
      </c>
      <c r="D64" s="286">
        <v>99787</v>
      </c>
      <c r="E64" s="261">
        <v>106682</v>
      </c>
      <c r="G64" s="404"/>
      <c r="H64" s="405"/>
      <c r="I64" s="383"/>
      <c r="J64" s="397"/>
    </row>
    <row r="65" spans="2:10" x14ac:dyDescent="0.25">
      <c r="B65" s="281"/>
      <c r="C65" s="283"/>
      <c r="D65" s="286"/>
      <c r="E65" s="261"/>
      <c r="G65" s="406">
        <f>ROUND(C73*0.05+C73,0)</f>
        <v>96083</v>
      </c>
      <c r="H65" s="405" t="str">
        <f>CONCATENATE("Less ",E1-2," Expenditures + 5%")</f>
        <v>Less 2022 Expenditures + 5%</v>
      </c>
      <c r="I65" s="403"/>
      <c r="J65" s="397"/>
    </row>
    <row r="66" spans="2:10" x14ac:dyDescent="0.25">
      <c r="B66" s="281"/>
      <c r="C66" s="283"/>
      <c r="D66" s="286"/>
      <c r="E66" s="261"/>
      <c r="G66" s="407">
        <f>G63-G65</f>
        <v>10599</v>
      </c>
      <c r="H66" s="408" t="str">
        <f>CONCATENATE("Projected ",E1+1," carryover (est.)")</f>
        <v>Projected 2025 carryover (est.)</v>
      </c>
      <c r="I66" s="409"/>
      <c r="J66" s="410"/>
    </row>
    <row r="67" spans="2:10" x14ac:dyDescent="0.25">
      <c r="B67" s="281"/>
      <c r="C67" s="283"/>
      <c r="D67" s="286"/>
      <c r="E67" s="261"/>
      <c r="F67" s="2"/>
      <c r="G67" s="2"/>
      <c r="H67" s="2"/>
      <c r="I67" s="2"/>
      <c r="J67" s="2"/>
    </row>
    <row r="68" spans="2:10" x14ac:dyDescent="0.25">
      <c r="B68" s="281"/>
      <c r="C68" s="283"/>
      <c r="D68" s="286"/>
      <c r="E68" s="261"/>
      <c r="F68" s="2"/>
      <c r="G68" s="702" t="s">
        <v>722</v>
      </c>
      <c r="H68" s="703"/>
      <c r="I68" s="703"/>
      <c r="J68" s="704"/>
    </row>
    <row r="69" spans="2:10" x14ac:dyDescent="0.25">
      <c r="B69" s="281"/>
      <c r="C69" s="283"/>
      <c r="D69" s="286"/>
      <c r="E69" s="261"/>
      <c r="F69" s="2"/>
      <c r="G69" s="705"/>
      <c r="H69" s="706"/>
      <c r="I69" s="706"/>
      <c r="J69" s="707"/>
    </row>
    <row r="70" spans="2:10" x14ac:dyDescent="0.25">
      <c r="B70" s="281"/>
      <c r="C70" s="283"/>
      <c r="D70" s="286"/>
      <c r="E70" s="261"/>
      <c r="F70" s="2"/>
      <c r="G70" s="577">
        <f>'Summary Budget Hearing Notice'!H17</f>
        <v>4.5789999999999997</v>
      </c>
      <c r="H70" s="376" t="str">
        <f>CONCATENATE("",E1," Estimated Fund Mill Rate")</f>
        <v>2024 Estimated Fund Mill Rate</v>
      </c>
      <c r="I70" s="578"/>
      <c r="J70" s="579"/>
    </row>
    <row r="71" spans="2:10" x14ac:dyDescent="0.25">
      <c r="B71" s="269" t="s">
        <v>9</v>
      </c>
      <c r="C71" s="297"/>
      <c r="D71" s="286"/>
      <c r="E71" s="261"/>
      <c r="F71" s="2"/>
      <c r="G71" s="580">
        <f>'Summary Budget Hearing Notice'!E17</f>
        <v>4.7750000000000004</v>
      </c>
      <c r="H71" s="376" t="str">
        <f>CONCATENATE("",E1-1," Fund Mill Rate")</f>
        <v>2023 Fund Mill Rate</v>
      </c>
      <c r="I71" s="578"/>
      <c r="J71" s="579"/>
    </row>
    <row r="72" spans="2:10" x14ac:dyDescent="0.25">
      <c r="B72" s="269" t="s">
        <v>353</v>
      </c>
      <c r="C72" s="173" t="str">
        <f>IF(C73*0.1&lt;C71,"Exceed 10% Rule","")</f>
        <v/>
      </c>
      <c r="D72" s="173" t="str">
        <f>IF(D73*0.1&lt;D71,"Exceed 10% Rule","")</f>
        <v/>
      </c>
      <c r="E72" s="204" t="str">
        <f>IF(E73*0.1&lt;E71,"Exceed 10% Rule","")</f>
        <v/>
      </c>
      <c r="F72" s="2"/>
      <c r="G72" s="581">
        <f>inputOth!D20</f>
        <v>50.973999999999997</v>
      </c>
      <c r="H72" s="582" t="s">
        <v>723</v>
      </c>
      <c r="I72" s="578"/>
      <c r="J72" s="579"/>
    </row>
    <row r="73" spans="2:10" x14ac:dyDescent="0.2">
      <c r="B73" s="275" t="s">
        <v>75</v>
      </c>
      <c r="C73" s="592">
        <f>SUM(C64:C71)</f>
        <v>91508</v>
      </c>
      <c r="D73" s="592">
        <f>SUM(D64:D71)</f>
        <v>99787</v>
      </c>
      <c r="E73" s="592">
        <f>SUM(E64:E71)</f>
        <v>106682</v>
      </c>
      <c r="F73"/>
      <c r="G73" s="577" t="e">
        <f>'Summary Budget Hearing Notice'!H52</f>
        <v>#REF!</v>
      </c>
      <c r="H73" s="376" t="str">
        <f>CONCATENATE(E1," Estimated Total Mill Rate")</f>
        <v>2024 Estimated Total Mill Rate</v>
      </c>
      <c r="I73" s="578"/>
      <c r="J73" s="579"/>
    </row>
    <row r="74" spans="2:10" x14ac:dyDescent="0.2">
      <c r="B74" s="266" t="s">
        <v>138</v>
      </c>
      <c r="C74" s="456">
        <f>SUM(C62-C73)</f>
        <v>2242</v>
      </c>
      <c r="D74" s="456">
        <f>SUM(D62-D73)</f>
        <v>4250</v>
      </c>
      <c r="E74" s="280" t="s">
        <v>49</v>
      </c>
      <c r="F74"/>
      <c r="G74" s="583">
        <f>'Summary Budget Hearing Notice'!E52</f>
        <v>54.954999999999991</v>
      </c>
      <c r="H74" s="376" t="str">
        <f>CONCATENATE(E1-1," Total Mill Rate")</f>
        <v>2023 Total Mill Rate</v>
      </c>
      <c r="I74" s="578"/>
      <c r="J74" s="579"/>
    </row>
    <row r="75" spans="2:10" x14ac:dyDescent="0.2">
      <c r="B75" s="457" t="str">
        <f>CONCATENATE("",E1-2,"/",E1-1,"/",E1," Budget Authority Amount:")</f>
        <v>2022/2023/2024 Budget Authority Amount:</v>
      </c>
      <c r="C75" s="456">
        <f>inputOth!B67</f>
        <v>92883</v>
      </c>
      <c r="D75" s="456">
        <f>inputPrYr!D20</f>
        <v>99787</v>
      </c>
      <c r="E75" s="267">
        <f>E73</f>
        <v>106682</v>
      </c>
      <c r="F75"/>
      <c r="G75" s="396"/>
      <c r="H75" s="383"/>
      <c r="I75" s="383"/>
      <c r="J75" s="403"/>
    </row>
    <row r="76" spans="2:10" x14ac:dyDescent="0.2">
      <c r="B76" s="271"/>
      <c r="C76" s="695" t="s">
        <v>320</v>
      </c>
      <c r="D76" s="696"/>
      <c r="E76" s="39"/>
      <c r="F76"/>
      <c r="G76" s="708" t="s">
        <v>724</v>
      </c>
      <c r="H76" s="709"/>
      <c r="I76" s="709"/>
      <c r="J76" s="712" t="e">
        <f>IF(G73&gt;G72, "Yes", "No")</f>
        <v>#REF!</v>
      </c>
    </row>
    <row r="77" spans="2:10" x14ac:dyDescent="0.2">
      <c r="B77" s="329" t="str">
        <f>CONCATENATE(C100,"     ",D100)</f>
        <v xml:space="preserve">     </v>
      </c>
      <c r="C77" s="697" t="s">
        <v>321</v>
      </c>
      <c r="D77" s="698"/>
      <c r="E77" s="267">
        <f>SUM(E73+E76)</f>
        <v>106682</v>
      </c>
      <c r="F77"/>
      <c r="G77" s="710"/>
      <c r="H77" s="711"/>
      <c r="I77" s="711"/>
      <c r="J77" s="713"/>
    </row>
    <row r="78" spans="2:10" x14ac:dyDescent="0.2">
      <c r="B78" s="329" t="str">
        <f>CONCATENATE(C101,"     ",D101)</f>
        <v xml:space="preserve">     </v>
      </c>
      <c r="C78" s="277"/>
      <c r="D78" s="272" t="s">
        <v>76</v>
      </c>
      <c r="E78" s="456">
        <f>IF(E77-E62&gt;0,E77-E62,0)</f>
        <v>94184</v>
      </c>
      <c r="F78" s="185"/>
      <c r="G78" s="714" t="e">
        <f>IF(J76="Yes", "Follow procedure prescribed by KSA 79-2988 to exceed the Revenue Neutral Rate.", " ")</f>
        <v>#REF!</v>
      </c>
      <c r="H78" s="714"/>
      <c r="I78" s="714"/>
      <c r="J78" s="714"/>
    </row>
    <row r="79" spans="2:10" x14ac:dyDescent="0.2">
      <c r="B79" s="272"/>
      <c r="C79" s="255" t="s">
        <v>319</v>
      </c>
      <c r="D79" s="450">
        <f>inputOth!$E$52</f>
        <v>1.4E-2</v>
      </c>
      <c r="E79" s="267">
        <f>ROUND(IF(D79&gt;0,(E78*D79),0),0)</f>
        <v>1319</v>
      </c>
      <c r="F79" s="401" t="str">
        <f>IF(E73/0.95-E73&lt;E76,"Exceeds 5%","")</f>
        <v/>
      </c>
      <c r="G79" s="715"/>
      <c r="H79" s="715"/>
      <c r="I79" s="715"/>
      <c r="J79" s="715"/>
    </row>
    <row r="80" spans="2:10" ht="16.5" thickBot="1" x14ac:dyDescent="0.25">
      <c r="B80" s="257"/>
      <c r="C80" s="716" t="str">
        <f>CONCATENATE("Amount of  ",E1-1," Ad Valorem Tax")</f>
        <v>Amount of  2023 Ad Valorem Tax</v>
      </c>
      <c r="D80" s="717"/>
      <c r="E80" s="379">
        <f>SUM(E78:E79)</f>
        <v>95503</v>
      </c>
      <c r="F80"/>
      <c r="G80" s="715"/>
      <c r="H80" s="715"/>
      <c r="I80" s="715"/>
      <c r="J80" s="715"/>
    </row>
    <row r="81" spans="2:6" ht="16.5" thickTop="1" x14ac:dyDescent="0.2">
      <c r="B81" s="257"/>
      <c r="C81" s="365"/>
      <c r="D81" s="257"/>
      <c r="E81" s="365"/>
      <c r="F81" s="411" t="str">
        <f>IF('Library Grant'!F33="","",IF('Library Grant'!F33="Qualify","Qualifies for State Library Grant","See 'Library Grant' tab"))</f>
        <v>Qualifies for State Library Grant</v>
      </c>
    </row>
    <row r="82" spans="2:6" x14ac:dyDescent="0.2">
      <c r="B82" s="538" t="s">
        <v>539</v>
      </c>
      <c r="C82" s="515"/>
      <c r="D82" s="516"/>
      <c r="E82" s="517"/>
      <c r="F82"/>
    </row>
    <row r="83" spans="2:6" x14ac:dyDescent="0.2">
      <c r="B83" s="337"/>
      <c r="C83" s="365"/>
      <c r="D83" s="334"/>
      <c r="E83" s="518"/>
    </row>
    <row r="84" spans="2:6" x14ac:dyDescent="0.2">
      <c r="B84" s="519"/>
      <c r="C84" s="520"/>
      <c r="D84" s="521"/>
      <c r="E84" s="522"/>
      <c r="F84"/>
    </row>
    <row r="85" spans="2:6" x14ac:dyDescent="0.25">
      <c r="B85" s="334"/>
      <c r="C85" s="365"/>
      <c r="D85" s="334"/>
      <c r="E85" s="365"/>
      <c r="F85" s="2"/>
    </row>
    <row r="86" spans="2:6" x14ac:dyDescent="0.2">
      <c r="B86" s="272" t="s">
        <v>78</v>
      </c>
      <c r="C86" s="463"/>
      <c r="D86" s="262"/>
      <c r="E86" s="257"/>
      <c r="F86"/>
    </row>
    <row r="87" spans="2:6" x14ac:dyDescent="0.25">
      <c r="F87" s="2"/>
    </row>
    <row r="88" spans="2:6" x14ac:dyDescent="0.25">
      <c r="B88" s="263"/>
      <c r="C88" s="263"/>
      <c r="D88" s="256"/>
      <c r="E88" s="256"/>
      <c r="F88" s="2"/>
    </row>
    <row r="93" spans="2:6" x14ac:dyDescent="0.2">
      <c r="C93" s="258" t="s">
        <v>323</v>
      </c>
      <c r="D93" s="258" t="s">
        <v>323</v>
      </c>
    </row>
    <row r="94" spans="2:6" ht="1.5" customHeight="1" x14ac:dyDescent="0.2">
      <c r="C94" s="258" t="s">
        <v>323</v>
      </c>
      <c r="D94" s="258" t="s">
        <v>323</v>
      </c>
    </row>
    <row r="95" spans="2:6" ht="15" hidden="1" customHeight="1" x14ac:dyDescent="0.2"/>
    <row r="96" spans="2:6" ht="15.75" hidden="1" customHeight="1" x14ac:dyDescent="0.2">
      <c r="C96" s="258" t="s">
        <v>323</v>
      </c>
      <c r="D96" s="258" t="s">
        <v>323</v>
      </c>
    </row>
    <row r="97" spans="3:4" ht="1.5" hidden="1" customHeight="1" x14ac:dyDescent="0.2">
      <c r="C97" s="258" t="s">
        <v>323</v>
      </c>
      <c r="D97" s="258" t="s">
        <v>323</v>
      </c>
    </row>
    <row r="98" spans="3:4" ht="43.5" hidden="1" customHeight="1" x14ac:dyDescent="0.2">
      <c r="C98" s="328" t="str">
        <f>IF(C33&gt;C35,"See Tab A","")</f>
        <v/>
      </c>
      <c r="D98" s="328" t="str">
        <f>IF(D33&gt;D35,"See Tab C","")</f>
        <v/>
      </c>
    </row>
    <row r="99" spans="3:4" ht="24.75" customHeight="1" x14ac:dyDescent="0.2">
      <c r="C99" s="328" t="str">
        <f>IF(C34&lt;0,"See Tab B","")</f>
        <v/>
      </c>
      <c r="D99" s="328" t="str">
        <f>IF(D34&lt;0,"See Tab D","")</f>
        <v/>
      </c>
    </row>
    <row r="100" spans="3:4" x14ac:dyDescent="0.2">
      <c r="C100" s="328" t="str">
        <f>IF(C73&gt;C75,"See Tab A","")</f>
        <v/>
      </c>
      <c r="D100" s="328" t="str">
        <f>IF(D73&gt;D75,"See Tab C","")</f>
        <v/>
      </c>
    </row>
    <row r="101" spans="3:4" x14ac:dyDescent="0.2">
      <c r="C101" s="328" t="str">
        <f>IF(C74&lt;0,"See Tab B","")</f>
        <v/>
      </c>
      <c r="D101" s="328" t="str">
        <f>IF(D74&lt;0,"See Tab D","")</f>
        <v/>
      </c>
    </row>
  </sheetData>
  <sheetProtection sheet="1" objects="1" scenarios="1"/>
  <mergeCells count="18">
    <mergeCell ref="G76:I77"/>
    <mergeCell ref="J76:J77"/>
    <mergeCell ref="G78:J80"/>
    <mergeCell ref="G16:J16"/>
    <mergeCell ref="G9:J9"/>
    <mergeCell ref="G51:J51"/>
    <mergeCell ref="G58:J58"/>
    <mergeCell ref="G26:J27"/>
    <mergeCell ref="G34:I35"/>
    <mergeCell ref="J34:J35"/>
    <mergeCell ref="G36:J38"/>
    <mergeCell ref="G68:J69"/>
    <mergeCell ref="C80:D80"/>
    <mergeCell ref="C76:D76"/>
    <mergeCell ref="C77:D77"/>
    <mergeCell ref="C36:D36"/>
    <mergeCell ref="C37:D37"/>
    <mergeCell ref="C40:D40"/>
  </mergeCells>
  <phoneticPr fontId="8" type="noConversion"/>
  <conditionalFormatting sqref="C19">
    <cfRule type="cellIs" dxfId="139" priority="22" stopIfTrue="1" operator="greaterThan">
      <formula>$C$21*0.1</formula>
    </cfRule>
  </conditionalFormatting>
  <conditionalFormatting sqref="C31">
    <cfRule type="cellIs" dxfId="138" priority="26" stopIfTrue="1" operator="greaterThan">
      <formula>$C$33*0.1</formula>
    </cfRule>
  </conditionalFormatting>
  <conditionalFormatting sqref="C33">
    <cfRule type="expression" dxfId="137" priority="8">
      <formula>$C$33&gt;$C$35</formula>
    </cfRule>
  </conditionalFormatting>
  <conditionalFormatting sqref="C34">
    <cfRule type="expression" dxfId="136" priority="7">
      <formula>$C$34&lt;0</formula>
    </cfRule>
  </conditionalFormatting>
  <conditionalFormatting sqref="C59">
    <cfRule type="cellIs" dxfId="135" priority="32" stopIfTrue="1" operator="greaterThan">
      <formula>$C$61*0.1</formula>
    </cfRule>
  </conditionalFormatting>
  <conditionalFormatting sqref="C71">
    <cfRule type="cellIs" dxfId="134" priority="29" stopIfTrue="1" operator="greaterThan">
      <formula>$C$73*0.1</formula>
    </cfRule>
  </conditionalFormatting>
  <conditionalFormatting sqref="C73">
    <cfRule type="expression" dxfId="133" priority="4">
      <formula>$C$73&gt;$C$75</formula>
    </cfRule>
  </conditionalFormatting>
  <conditionalFormatting sqref="C74">
    <cfRule type="expression" dxfId="132" priority="3">
      <formula>$C$74&lt;0</formula>
    </cfRule>
  </conditionalFormatting>
  <conditionalFormatting sqref="D19 D59">
    <cfRule type="cellIs" dxfId="131" priority="31" stopIfTrue="1" operator="greaterThan">
      <formula>$D$21*0.1</formula>
    </cfRule>
  </conditionalFormatting>
  <conditionalFormatting sqref="D31">
    <cfRule type="cellIs" dxfId="130" priority="25" stopIfTrue="1" operator="greaterThan">
      <formula>$D$33*0.1</formula>
    </cfRule>
  </conditionalFormatting>
  <conditionalFormatting sqref="D33">
    <cfRule type="expression" dxfId="129" priority="6">
      <formula>$D$33&gt;$D$35</formula>
    </cfRule>
  </conditionalFormatting>
  <conditionalFormatting sqref="D34">
    <cfRule type="expression" dxfId="128" priority="5">
      <formula>$D$34&lt;0</formula>
    </cfRule>
  </conditionalFormatting>
  <conditionalFormatting sqref="D71">
    <cfRule type="cellIs" dxfId="127" priority="28" stopIfTrue="1" operator="greaterThan">
      <formula>$D$73*0.1</formula>
    </cfRule>
  </conditionalFormatting>
  <conditionalFormatting sqref="D73">
    <cfRule type="expression" dxfId="126" priority="2">
      <formula>$D$73&gt;$D$75</formula>
    </cfRule>
  </conditionalFormatting>
  <conditionalFormatting sqref="D74">
    <cfRule type="expression" dxfId="125" priority="1">
      <formula>$D$74&lt;0</formula>
    </cfRule>
  </conditionalFormatting>
  <conditionalFormatting sqref="E19">
    <cfRule type="cellIs" dxfId="124" priority="21" stopIfTrue="1" operator="greaterThan">
      <formula>$E$21*0.1+E40</formula>
    </cfRule>
  </conditionalFormatting>
  <conditionalFormatting sqref="E31">
    <cfRule type="cellIs" dxfId="123" priority="24" stopIfTrue="1" operator="greaterThan">
      <formula>$E$33*0.1</formula>
    </cfRule>
  </conditionalFormatting>
  <conditionalFormatting sqref="E36">
    <cfRule type="cellIs" dxfId="122" priority="20" stopIfTrue="1" operator="greaterThan">
      <formula>$E$33/0.95-$E$33</formula>
    </cfRule>
  </conditionalFormatting>
  <conditionalFormatting sqref="E59">
    <cfRule type="cellIs" dxfId="121" priority="30" stopIfTrue="1" operator="greaterThan">
      <formula>$E$21*0.1+E80</formula>
    </cfRule>
  </conditionalFormatting>
  <conditionalFormatting sqref="E71">
    <cfRule type="cellIs" dxfId="120" priority="27" stopIfTrue="1" operator="greaterThan">
      <formula>$E$73*0.1</formula>
    </cfRule>
  </conditionalFormatting>
  <conditionalFormatting sqref="E76">
    <cfRule type="cellIs" dxfId="119" priority="19" stopIfTrue="1" operator="greaterThan">
      <formula>$E$73/0.95-$E$73</formula>
    </cfRule>
  </conditionalFormatting>
  <conditionalFormatting sqref="J34">
    <cfRule type="containsText" dxfId="118" priority="10" operator="containsText" text="Yes">
      <formula>NOT(ISERROR(SEARCH("Yes",J34)))</formula>
    </cfRule>
  </conditionalFormatting>
  <conditionalFormatting sqref="J76">
    <cfRule type="containsText" dxfId="117" priority="9" operator="containsText" text="Yes">
      <formula>NOT(ISERROR(SEARCH("Yes",J76)))</formula>
    </cfRule>
  </conditionalFormatting>
  <pageMargins left="0.75" right="0.75" top="1" bottom="1" header="0.5" footer="0.5"/>
  <pageSetup scale="52"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101"/>
  <sheetViews>
    <sheetView zoomScaleNormal="100" workbookViewId="0">
      <selection activeCell="E24" sqref="E24"/>
    </sheetView>
  </sheetViews>
  <sheetFormatPr defaultColWidth="8.88671875" defaultRowHeight="15.75" x14ac:dyDescent="0.2"/>
  <cols>
    <col min="1" max="1" width="2.44140625" style="26" customWidth="1"/>
    <col min="2" max="2" width="31.109375" style="26" customWidth="1"/>
    <col min="3" max="4" width="15.77734375" style="26" customWidth="1"/>
    <col min="5" max="5" width="16.21875" style="26" customWidth="1"/>
    <col min="6" max="6" width="8.88671875" style="26"/>
    <col min="7" max="7" width="10.21875" style="26" customWidth="1"/>
    <col min="8" max="8" width="8.88671875" style="26"/>
    <col min="9" max="9" width="5.5546875" style="26" customWidth="1"/>
    <col min="10" max="10" width="10" style="26" customWidth="1"/>
    <col min="11" max="16384" width="8.88671875" style="26"/>
  </cols>
  <sheetData>
    <row r="1" spans="2:10" x14ac:dyDescent="0.2">
      <c r="B1" s="47" t="str">
        <f>(inputPrYr!D3)</f>
        <v>Wellsville</v>
      </c>
      <c r="C1" s="28"/>
      <c r="D1" s="28"/>
      <c r="E1" s="80">
        <f>inputPrYr!C6</f>
        <v>2024</v>
      </c>
    </row>
    <row r="2" spans="2:10" x14ac:dyDescent="0.2">
      <c r="B2" s="28"/>
      <c r="C2" s="28"/>
      <c r="D2" s="28"/>
      <c r="E2" s="107"/>
    </row>
    <row r="3" spans="2:10" x14ac:dyDescent="0.2">
      <c r="B3" s="161" t="s">
        <v>123</v>
      </c>
      <c r="C3" s="115"/>
      <c r="D3" s="115"/>
      <c r="E3" s="133"/>
    </row>
    <row r="4" spans="2:10" x14ac:dyDescent="0.2">
      <c r="B4" s="29" t="s">
        <v>59</v>
      </c>
      <c r="C4" s="442" t="s">
        <v>479</v>
      </c>
      <c r="D4" s="443" t="s">
        <v>480</v>
      </c>
      <c r="E4" s="87" t="s">
        <v>481</v>
      </c>
    </row>
    <row r="5" spans="2:10" x14ac:dyDescent="0.2">
      <c r="B5" s="332" t="str">
        <f>inputPrYr!B22</f>
        <v>Employee Benefits</v>
      </c>
      <c r="C5" s="138" t="str">
        <f>CONCATENATE("Actual for ",E1-2,"")</f>
        <v>Actual for 2022</v>
      </c>
      <c r="D5" s="138" t="str">
        <f>CONCATENATE("Estimate for ",E1-1,"")</f>
        <v>Estimate for 2023</v>
      </c>
      <c r="E5" s="122" t="str">
        <f>CONCATENATE("Year for ",E1,"")</f>
        <v>Year for 2024</v>
      </c>
    </row>
    <row r="6" spans="2:10" x14ac:dyDescent="0.2">
      <c r="B6" s="163" t="s">
        <v>137</v>
      </c>
      <c r="C6" s="168">
        <v>12146</v>
      </c>
      <c r="D6" s="166">
        <f>C33</f>
        <v>25513</v>
      </c>
      <c r="E6" s="141">
        <f>D33</f>
        <v>23471</v>
      </c>
    </row>
    <row r="7" spans="2:10" x14ac:dyDescent="0.2">
      <c r="B7" s="167" t="s">
        <v>139</v>
      </c>
      <c r="C7" s="102"/>
      <c r="D7" s="102"/>
      <c r="E7" s="52"/>
    </row>
    <row r="8" spans="2:10" x14ac:dyDescent="0.2">
      <c r="B8" s="93" t="s">
        <v>60</v>
      </c>
      <c r="C8" s="168">
        <v>101445</v>
      </c>
      <c r="D8" s="166">
        <f>IF(inputPrYr!H21&gt;0,inputPrYr!G26,inputPrYr!E22)</f>
        <v>112256</v>
      </c>
      <c r="E8" s="193" t="s">
        <v>49</v>
      </c>
      <c r="G8" s="718" t="str">
        <f>CONCATENATE("Desired Carryover Into ",E1+1,"")</f>
        <v>Desired Carryover Into 2025</v>
      </c>
      <c r="H8" s="700"/>
      <c r="I8" s="700"/>
      <c r="J8" s="701"/>
    </row>
    <row r="9" spans="2:10" x14ac:dyDescent="0.2">
      <c r="B9" s="93" t="s">
        <v>61</v>
      </c>
      <c r="C9" s="168">
        <v>2634</v>
      </c>
      <c r="D9" s="168"/>
      <c r="E9" s="39"/>
      <c r="G9" s="382"/>
      <c r="H9" s="383"/>
      <c r="I9" s="384"/>
      <c r="J9" s="385"/>
    </row>
    <row r="10" spans="2:10" x14ac:dyDescent="0.2">
      <c r="B10" s="93" t="s">
        <v>62</v>
      </c>
      <c r="C10" s="168">
        <v>12012</v>
      </c>
      <c r="D10" s="168">
        <v>10049</v>
      </c>
      <c r="E10" s="141">
        <f>Mvalloc!D10</f>
        <v>9423</v>
      </c>
      <c r="G10" s="386" t="s">
        <v>349</v>
      </c>
      <c r="H10" s="384"/>
      <c r="I10" s="384"/>
      <c r="J10" s="387">
        <v>0</v>
      </c>
    </row>
    <row r="11" spans="2:10" x14ac:dyDescent="0.2">
      <c r="B11" s="93" t="s">
        <v>63</v>
      </c>
      <c r="C11" s="168">
        <v>275</v>
      </c>
      <c r="D11" s="168">
        <v>213</v>
      </c>
      <c r="E11" s="141">
        <f>Mvalloc!E10</f>
        <v>205</v>
      </c>
      <c r="G11" s="382" t="s">
        <v>350</v>
      </c>
      <c r="H11" s="383"/>
      <c r="I11" s="383"/>
      <c r="J11" s="388" t="str">
        <f>IF(J10=0,"",ROUND((J10+E39-G23)/inputOth!E7*1000,3)-G28)</f>
        <v/>
      </c>
    </row>
    <row r="12" spans="2:10" x14ac:dyDescent="0.2">
      <c r="B12" s="102" t="s">
        <v>130</v>
      </c>
      <c r="C12" s="168"/>
      <c r="D12" s="168">
        <v>25</v>
      </c>
      <c r="E12" s="141">
        <f>Mvalloc!F10</f>
        <v>76</v>
      </c>
      <c r="G12" s="389" t="str">
        <f>CONCATENATE("",E1," Tot Exp/Non-Appr Must Be:")</f>
        <v>2024 Tot Exp/Non-Appr Must Be:</v>
      </c>
      <c r="H12" s="390"/>
      <c r="I12" s="391"/>
      <c r="J12" s="392">
        <f>IF(J10&gt;0,IF(E36&lt;E21,IF(J10=G23,E36,((J10-G23)*(1-D38))+E21),E36+(J10-G23)),0)</f>
        <v>0</v>
      </c>
    </row>
    <row r="13" spans="2:10" x14ac:dyDescent="0.2">
      <c r="B13" s="508" t="s">
        <v>528</v>
      </c>
      <c r="C13" s="168">
        <v>325</v>
      </c>
      <c r="D13" s="168">
        <v>362</v>
      </c>
      <c r="E13" s="141">
        <f>Mvalloc!G10</f>
        <v>271</v>
      </c>
      <c r="G13" s="393" t="s">
        <v>423</v>
      </c>
      <c r="H13" s="394"/>
      <c r="I13" s="394"/>
      <c r="J13" s="395">
        <f>IF(J10&gt;0,J12-E36,0)</f>
        <v>0</v>
      </c>
    </row>
    <row r="14" spans="2:10" x14ac:dyDescent="0.25">
      <c r="B14" s="508" t="s">
        <v>529</v>
      </c>
      <c r="C14" s="168"/>
      <c r="D14" s="168">
        <v>53</v>
      </c>
      <c r="E14" s="141">
        <f>Mvalloc!H10</f>
        <v>47</v>
      </c>
      <c r="J14" s="2"/>
    </row>
    <row r="15" spans="2:10" x14ac:dyDescent="0.2">
      <c r="B15" s="183"/>
      <c r="C15" s="168"/>
      <c r="D15" s="168"/>
      <c r="E15" s="39"/>
      <c r="G15" s="718" t="str">
        <f>CONCATENATE("Projected Carryover Into ",E1+1,"")</f>
        <v>Projected Carryover Into 2025</v>
      </c>
      <c r="H15" s="719"/>
      <c r="I15" s="719"/>
      <c r="J15" s="720"/>
    </row>
    <row r="16" spans="2:10" x14ac:dyDescent="0.25">
      <c r="B16" s="172" t="s">
        <v>67</v>
      </c>
      <c r="C16" s="168"/>
      <c r="D16" s="168"/>
      <c r="E16" s="39"/>
      <c r="G16" s="382"/>
      <c r="H16" s="384"/>
      <c r="I16" s="384"/>
      <c r="J16" s="397"/>
    </row>
    <row r="17" spans="2:11" x14ac:dyDescent="0.25">
      <c r="B17" s="184" t="s">
        <v>8</v>
      </c>
      <c r="C17" s="168"/>
      <c r="D17" s="168"/>
      <c r="E17" s="141">
        <f>'NR Rebate'!E9*-1</f>
        <v>0</v>
      </c>
      <c r="G17" s="398">
        <f>D33</f>
        <v>23471</v>
      </c>
      <c r="H17" s="376" t="str">
        <f>CONCATENATE("",E1-1," Ending Cash Balance (est.)")</f>
        <v>2023 Ending Cash Balance (est.)</v>
      </c>
      <c r="I17" s="399"/>
      <c r="J17" s="397"/>
    </row>
    <row r="18" spans="2:11" x14ac:dyDescent="0.25">
      <c r="B18" s="102" t="s">
        <v>9</v>
      </c>
      <c r="C18" s="168"/>
      <c r="D18" s="168"/>
      <c r="E18" s="39"/>
      <c r="G18" s="398">
        <f>E20</f>
        <v>10022</v>
      </c>
      <c r="H18" s="384" t="str">
        <f>CONCATENATE("",E1," Non-AV Receipts (est.)")</f>
        <v>2024 Non-AV Receipts (est.)</v>
      </c>
      <c r="I18" s="399"/>
      <c r="J18" s="397"/>
    </row>
    <row r="19" spans="2:11" x14ac:dyDescent="0.2">
      <c r="B19" s="163" t="s">
        <v>352</v>
      </c>
      <c r="C19" s="173" t="str">
        <f>IF(C20*0.1&lt;C18,"Exceed 10% Rule","")</f>
        <v/>
      </c>
      <c r="D19" s="173" t="str">
        <f>IF(D20*0.1&lt;D18,"Exceed 10% Rule","")</f>
        <v/>
      </c>
      <c r="E19" s="204" t="str">
        <f>IF(E20*0.1+E39&lt;E18,"Exceed 10% Rule","")</f>
        <v/>
      </c>
      <c r="G19" s="400">
        <f>IF(E38&gt;0,E37,E39)</f>
        <v>106507</v>
      </c>
      <c r="H19" s="384" t="str">
        <f>CONCATENATE("",E1," Ad Valorem Tax (est.)")</f>
        <v>2024 Ad Valorem Tax (est.)</v>
      </c>
      <c r="I19" s="399"/>
      <c r="J19" s="378"/>
      <c r="K19" s="377" t="str">
        <f>IF(G19=E39,"","Note: Does not include Delinquent Taxes")</f>
        <v>Note: Does not include Delinquent Taxes</v>
      </c>
    </row>
    <row r="20" spans="2:11" x14ac:dyDescent="0.25">
      <c r="B20" s="175" t="s">
        <v>68</v>
      </c>
      <c r="C20" s="591">
        <f>SUM(C8:C18)</f>
        <v>116691</v>
      </c>
      <c r="D20" s="591">
        <f>SUM(D8:D18)</f>
        <v>122958</v>
      </c>
      <c r="E20" s="591">
        <f>SUM(E8:E18)</f>
        <v>10022</v>
      </c>
      <c r="G20" s="398">
        <f>SUM(G17:G19)</f>
        <v>140000</v>
      </c>
      <c r="H20" s="384" t="str">
        <f>CONCATENATE("Total ",E1," Resources Available")</f>
        <v>Total 2024 Resources Available</v>
      </c>
      <c r="I20" s="399"/>
      <c r="J20" s="397"/>
    </row>
    <row r="21" spans="2:11" x14ac:dyDescent="0.25">
      <c r="B21" s="175" t="s">
        <v>69</v>
      </c>
      <c r="C21" s="591">
        <f>C6+C20</f>
        <v>128837</v>
      </c>
      <c r="D21" s="591">
        <f>D6+D20</f>
        <v>148471</v>
      </c>
      <c r="E21" s="591">
        <f>E6+E20</f>
        <v>33493</v>
      </c>
      <c r="G21" s="434"/>
      <c r="H21" s="384"/>
      <c r="I21" s="384"/>
      <c r="J21" s="397"/>
    </row>
    <row r="22" spans="2:11" x14ac:dyDescent="0.25">
      <c r="B22" s="93" t="s">
        <v>71</v>
      </c>
      <c r="C22" s="184"/>
      <c r="D22" s="184"/>
      <c r="E22" s="38"/>
      <c r="G22" s="400">
        <f>ROUND(C32*0.05+C32,0)</f>
        <v>108490</v>
      </c>
      <c r="H22" s="384" t="str">
        <f>CONCATENATE("Less ",E1-2," Expenditures + 5%")</f>
        <v>Less 2022 Expenditures + 5%</v>
      </c>
      <c r="I22" s="399"/>
      <c r="J22" s="397"/>
    </row>
    <row r="23" spans="2:11" x14ac:dyDescent="0.25">
      <c r="B23" s="183" t="s">
        <v>1033</v>
      </c>
      <c r="C23" s="168">
        <v>44302</v>
      </c>
      <c r="D23" s="168">
        <v>125000</v>
      </c>
      <c r="E23" s="39">
        <v>140000</v>
      </c>
      <c r="G23" s="435">
        <f>G20-G22</f>
        <v>31510</v>
      </c>
      <c r="H23" s="436" t="str">
        <f>CONCATENATE("Projected ",E1+1," carryover (est.)")</f>
        <v>Projected 2025 carryover (est.)</v>
      </c>
      <c r="I23" s="437"/>
      <c r="J23" s="410"/>
    </row>
    <row r="24" spans="2:11" x14ac:dyDescent="0.25">
      <c r="B24" s="183" t="s">
        <v>1034</v>
      </c>
      <c r="C24" s="168">
        <v>8338</v>
      </c>
      <c r="D24" s="168"/>
      <c r="E24" s="39"/>
      <c r="G24" s="2"/>
      <c r="H24" s="2"/>
      <c r="I24" s="2"/>
      <c r="J24" s="2"/>
    </row>
    <row r="25" spans="2:11" x14ac:dyDescent="0.2">
      <c r="B25" s="183" t="s">
        <v>1035</v>
      </c>
      <c r="C25" s="168">
        <v>50545</v>
      </c>
      <c r="D25" s="168"/>
      <c r="E25" s="39"/>
      <c r="G25" s="702" t="s">
        <v>722</v>
      </c>
      <c r="H25" s="703"/>
      <c r="I25" s="703"/>
      <c r="J25" s="704"/>
    </row>
    <row r="26" spans="2:11" x14ac:dyDescent="0.2">
      <c r="B26" s="183" t="s">
        <v>1036</v>
      </c>
      <c r="C26" s="168">
        <v>139</v>
      </c>
      <c r="D26" s="168"/>
      <c r="E26" s="39"/>
      <c r="G26" s="705"/>
      <c r="H26" s="706"/>
      <c r="I26" s="706"/>
      <c r="J26" s="707"/>
    </row>
    <row r="27" spans="2:11" x14ac:dyDescent="0.2">
      <c r="B27" s="183" t="s">
        <v>1037</v>
      </c>
      <c r="C27" s="168"/>
      <c r="D27" s="168"/>
      <c r="E27" s="39"/>
      <c r="G27" s="577">
        <f>'Summary Budget Hearing Notice'!H18</f>
        <v>5.1779999999999999</v>
      </c>
      <c r="H27" s="376" t="str">
        <f>CONCATENATE("",E1," Estimated Fund Mill Rate")</f>
        <v>2024 Estimated Fund Mill Rate</v>
      </c>
      <c r="I27" s="578"/>
      <c r="J27" s="579"/>
    </row>
    <row r="28" spans="2:11" x14ac:dyDescent="0.2">
      <c r="B28" s="183"/>
      <c r="C28" s="168"/>
      <c r="D28" s="168"/>
      <c r="E28" s="39"/>
      <c r="G28" s="580">
        <f>'Summary Budget Hearing Notice'!E52</f>
        <v>54.954999999999991</v>
      </c>
      <c r="H28" s="376" t="str">
        <f>CONCATENATE("",E1-1," Fund Mill Rate")</f>
        <v>2023 Fund Mill Rate</v>
      </c>
      <c r="I28" s="578"/>
      <c r="J28" s="579"/>
    </row>
    <row r="29" spans="2:11" x14ac:dyDescent="0.2">
      <c r="B29" s="184" t="str">
        <f>CONCATENATE("Cash Forward (",E1," column)")</f>
        <v>Cash Forward (2024 column)</v>
      </c>
      <c r="C29" s="168"/>
      <c r="D29" s="168"/>
      <c r="E29" s="39"/>
      <c r="G29" s="581">
        <f>inputOth!D20</f>
        <v>50.973999999999997</v>
      </c>
      <c r="H29" s="582" t="s">
        <v>723</v>
      </c>
      <c r="I29" s="578"/>
      <c r="J29" s="579"/>
    </row>
    <row r="30" spans="2:11" x14ac:dyDescent="0.2">
      <c r="B30" s="184" t="s">
        <v>9</v>
      </c>
      <c r="C30" s="168"/>
      <c r="D30" s="168"/>
      <c r="E30" s="39"/>
      <c r="G30" s="577" t="e">
        <f>'Summary Budget Hearing Notice'!H52</f>
        <v>#REF!</v>
      </c>
      <c r="H30" s="376" t="str">
        <f>CONCATENATE(E1," Estimated Total Mill Rate")</f>
        <v>2024 Estimated Total Mill Rate</v>
      </c>
      <c r="I30" s="578"/>
      <c r="J30" s="579"/>
    </row>
    <row r="31" spans="2:11" x14ac:dyDescent="0.2">
      <c r="B31" s="184" t="s">
        <v>353</v>
      </c>
      <c r="C31" s="173" t="str">
        <f>IF(C32*0.1&lt;C30,"Exceed 10% Rule","")</f>
        <v/>
      </c>
      <c r="D31" s="173" t="str">
        <f>IF(D32*0.1&lt;D30,"Exceed 10% Rule","")</f>
        <v/>
      </c>
      <c r="E31" s="204" t="str">
        <f>IF(E32*0.1&lt;E30,"Exceed 10% Rule","")</f>
        <v/>
      </c>
      <c r="G31" s="583">
        <f>'Summary Budget Hearing Notice'!E52</f>
        <v>54.954999999999991</v>
      </c>
      <c r="H31" s="376" t="str">
        <f>CONCATENATE(E1-1," Total Mill Rate")</f>
        <v>2023 Total Mill Rate</v>
      </c>
      <c r="I31" s="578"/>
      <c r="J31" s="579"/>
    </row>
    <row r="32" spans="2:11" x14ac:dyDescent="0.2">
      <c r="B32" s="175" t="s">
        <v>75</v>
      </c>
      <c r="C32" s="591">
        <f>SUM(C23:C30)</f>
        <v>103324</v>
      </c>
      <c r="D32" s="591">
        <f>SUM(D23:D30)</f>
        <v>125000</v>
      </c>
      <c r="E32" s="591">
        <f>SUM(E23:E30)</f>
        <v>140000</v>
      </c>
      <c r="G32" s="396"/>
      <c r="H32" s="383"/>
      <c r="I32" s="383"/>
      <c r="J32" s="403"/>
    </row>
    <row r="33" spans="2:10" x14ac:dyDescent="0.2">
      <c r="B33" s="93" t="s">
        <v>138</v>
      </c>
      <c r="C33" s="141">
        <f>C21-C32</f>
        <v>25513</v>
      </c>
      <c r="D33" s="141">
        <f>D21-D32</f>
        <v>23471</v>
      </c>
      <c r="E33" s="193" t="s">
        <v>49</v>
      </c>
      <c r="G33" s="708" t="s">
        <v>724</v>
      </c>
      <c r="H33" s="709"/>
      <c r="I33" s="709"/>
      <c r="J33" s="712" t="e">
        <f>IF(G30&gt;G29, "Yes", "No")</f>
        <v>#REF!</v>
      </c>
    </row>
    <row r="34" spans="2:10" x14ac:dyDescent="0.2">
      <c r="B34" s="108" t="str">
        <f>CONCATENATE("",E1-2,"/",E1-1,"/",E1," Budget Authority Amount:")</f>
        <v>2022/2023/2024 Budget Authority Amount:</v>
      </c>
      <c r="C34" s="446">
        <f>inputOth!B68</f>
        <v>128000</v>
      </c>
      <c r="D34" s="446">
        <f>inputPrYr!D22</f>
        <v>130000</v>
      </c>
      <c r="E34" s="141">
        <f>E32</f>
        <v>140000</v>
      </c>
      <c r="G34" s="710"/>
      <c r="H34" s="711"/>
      <c r="I34" s="711"/>
      <c r="J34" s="713"/>
    </row>
    <row r="35" spans="2:10" x14ac:dyDescent="0.2">
      <c r="B35" s="80"/>
      <c r="C35" s="695" t="s">
        <v>320</v>
      </c>
      <c r="D35" s="696"/>
      <c r="E35" s="39"/>
      <c r="G35" s="714" t="e">
        <f>IF(J33="Yes", "Follow procedure prescribed by KSA 79-2988 to exceed the Revenue Neutral Rate.", " ")</f>
        <v>#REF!</v>
      </c>
      <c r="H35" s="714"/>
      <c r="I35" s="714"/>
      <c r="J35" s="714"/>
    </row>
    <row r="36" spans="2:10" x14ac:dyDescent="0.2">
      <c r="B36" s="329" t="str">
        <f>CONCATENATE(C98,"     ",D98)</f>
        <v xml:space="preserve">     </v>
      </c>
      <c r="C36" s="697" t="s">
        <v>321</v>
      </c>
      <c r="D36" s="698"/>
      <c r="E36" s="141">
        <f>E32+E35</f>
        <v>140000</v>
      </c>
      <c r="G36" s="715"/>
      <c r="H36" s="715"/>
      <c r="I36" s="715"/>
      <c r="J36" s="715"/>
    </row>
    <row r="37" spans="2:10" x14ac:dyDescent="0.2">
      <c r="B37" s="329" t="str">
        <f>CONCATENATE(C99,"     ",D99)</f>
        <v xml:space="preserve">     </v>
      </c>
      <c r="C37" s="186"/>
      <c r="D37" s="107" t="s">
        <v>76</v>
      </c>
      <c r="E37" s="141">
        <f>IF(E36-E21&gt;0,E36-E21,0)</f>
        <v>106507</v>
      </c>
      <c r="F37" s="185"/>
      <c r="G37" s="715"/>
      <c r="H37" s="715"/>
      <c r="I37" s="715"/>
      <c r="J37" s="715"/>
    </row>
    <row r="38" spans="2:10" x14ac:dyDescent="0.2">
      <c r="B38" s="107"/>
      <c r="C38" s="255" t="s">
        <v>319</v>
      </c>
      <c r="D38" s="450">
        <f>inputOth!$E$52</f>
        <v>1.4E-2</v>
      </c>
      <c r="E38" s="141">
        <f>ROUND(IF(D38&gt;0,(E37*D38),0),0)</f>
        <v>1491</v>
      </c>
      <c r="F38" s="451" t="str">
        <f>IF(E32/0.95-E32&lt;E35,"Exceeds 5%","")</f>
        <v/>
      </c>
    </row>
    <row r="39" spans="2:10" ht="16.5" thickBot="1" x14ac:dyDescent="0.25">
      <c r="B39" s="107"/>
      <c r="C39" s="676" t="str">
        <f>CONCATENATE("Amount of  ",$E$1-1," Ad Valorem Tax")</f>
        <v>Amount of  2023 Ad Valorem Tax</v>
      </c>
      <c r="D39" s="699"/>
      <c r="E39" s="381">
        <f>E37+E38</f>
        <v>107998</v>
      </c>
    </row>
    <row r="40" spans="2:10" ht="16.5" thickTop="1" x14ac:dyDescent="0.2">
      <c r="B40" s="28"/>
      <c r="C40" s="676"/>
      <c r="D40" s="699"/>
      <c r="E40" s="28"/>
    </row>
    <row r="41" spans="2:10" x14ac:dyDescent="0.2">
      <c r="B41" s="29"/>
      <c r="C41" s="195"/>
      <c r="D41" s="195"/>
      <c r="E41" s="195"/>
    </row>
    <row r="42" spans="2:10" x14ac:dyDescent="0.2">
      <c r="B42" s="29" t="s">
        <v>59</v>
      </c>
      <c r="C42" s="442" t="s">
        <v>479</v>
      </c>
      <c r="D42" s="443" t="s">
        <v>480</v>
      </c>
      <c r="E42" s="87" t="s">
        <v>481</v>
      </c>
    </row>
    <row r="43" spans="2:10" x14ac:dyDescent="0.2">
      <c r="B43" s="332" t="str">
        <f>(inputPrYr!B23)</f>
        <v>Library Employee Benefits</v>
      </c>
      <c r="C43" s="138" t="str">
        <f>CONCATENATE("Actual for ",E1-2,"")</f>
        <v>Actual for 2022</v>
      </c>
      <c r="D43" s="138" t="str">
        <f>CONCATENATE("Estimate for ",E1-1,"")</f>
        <v>Estimate for 2023</v>
      </c>
      <c r="E43" s="122" t="str">
        <f>CONCATENATE("Year for ",E1,"")</f>
        <v>Year for 2024</v>
      </c>
    </row>
    <row r="44" spans="2:10" x14ac:dyDescent="0.2">
      <c r="B44" s="163" t="s">
        <v>137</v>
      </c>
      <c r="C44" s="168">
        <v>0</v>
      </c>
      <c r="D44" s="166">
        <f>C73</f>
        <v>21</v>
      </c>
      <c r="E44" s="141">
        <f>D73</f>
        <v>112</v>
      </c>
    </row>
    <row r="45" spans="2:10" x14ac:dyDescent="0.2">
      <c r="B45" s="167" t="s">
        <v>139</v>
      </c>
      <c r="C45" s="102"/>
      <c r="D45" s="102"/>
      <c r="E45" s="52"/>
    </row>
    <row r="46" spans="2:10" x14ac:dyDescent="0.2">
      <c r="B46" s="93" t="s">
        <v>60</v>
      </c>
      <c r="C46" s="168">
        <v>7657</v>
      </c>
      <c r="D46" s="166">
        <f>IF(inputPrYr!H21&gt;0,inputPrYr!G27,inputPrYr!E23)</f>
        <v>7869</v>
      </c>
      <c r="E46" s="193" t="s">
        <v>49</v>
      </c>
    </row>
    <row r="47" spans="2:10" x14ac:dyDescent="0.2">
      <c r="B47" s="93" t="s">
        <v>61</v>
      </c>
      <c r="C47" s="168">
        <v>224</v>
      </c>
      <c r="D47" s="168"/>
      <c r="E47" s="39"/>
    </row>
    <row r="48" spans="2:10" x14ac:dyDescent="0.2">
      <c r="B48" s="93" t="s">
        <v>62</v>
      </c>
      <c r="C48" s="168"/>
      <c r="D48" s="168">
        <v>772</v>
      </c>
      <c r="E48" s="141">
        <f>Mvalloc!D11</f>
        <v>661</v>
      </c>
    </row>
    <row r="49" spans="2:11" x14ac:dyDescent="0.2">
      <c r="B49" s="93" t="s">
        <v>63</v>
      </c>
      <c r="C49" s="168"/>
      <c r="D49" s="168">
        <v>16</v>
      </c>
      <c r="E49" s="141">
        <f>Mvalloc!E11</f>
        <v>14</v>
      </c>
    </row>
    <row r="50" spans="2:11" x14ac:dyDescent="0.2">
      <c r="B50" s="102" t="s">
        <v>130</v>
      </c>
      <c r="C50" s="168"/>
      <c r="D50" s="168">
        <v>2</v>
      </c>
      <c r="E50" s="141">
        <f>Mvalloc!F11</f>
        <v>5</v>
      </c>
      <c r="G50" s="718" t="str">
        <f>CONCATENATE("Desired Carryover Into ",E1+1,"")</f>
        <v>Desired Carryover Into 2025</v>
      </c>
      <c r="H50" s="700"/>
      <c r="I50" s="700"/>
      <c r="J50" s="701"/>
    </row>
    <row r="51" spans="2:11" x14ac:dyDescent="0.2">
      <c r="B51" s="508" t="s">
        <v>528</v>
      </c>
      <c r="C51" s="168"/>
      <c r="D51" s="168">
        <v>28</v>
      </c>
      <c r="E51" s="141">
        <f>Mvalloc!G11</f>
        <v>19</v>
      </c>
      <c r="G51" s="382"/>
      <c r="H51" s="383"/>
      <c r="I51" s="384"/>
      <c r="J51" s="385"/>
    </row>
    <row r="52" spans="2:11" x14ac:dyDescent="0.2">
      <c r="B52" s="508" t="s">
        <v>529</v>
      </c>
      <c r="C52" s="168"/>
      <c r="D52" s="168">
        <v>4</v>
      </c>
      <c r="E52" s="141">
        <f>Mvalloc!H11</f>
        <v>3</v>
      </c>
      <c r="G52" s="386" t="s">
        <v>349</v>
      </c>
      <c r="H52" s="384"/>
      <c r="I52" s="384"/>
      <c r="J52" s="387">
        <v>0</v>
      </c>
    </row>
    <row r="53" spans="2:11" x14ac:dyDescent="0.2">
      <c r="B53" s="183"/>
      <c r="C53" s="168"/>
      <c r="D53" s="168"/>
      <c r="E53" s="39"/>
      <c r="G53" s="382" t="s">
        <v>350</v>
      </c>
      <c r="H53" s="383"/>
      <c r="I53" s="383"/>
      <c r="J53" s="388" t="str">
        <f>IF(J52=0,"",ROUND((J52+E79-G65)/inputOth!E7*1000,3)-G70)</f>
        <v/>
      </c>
    </row>
    <row r="54" spans="2:11" x14ac:dyDescent="0.2">
      <c r="B54" s="183"/>
      <c r="C54" s="168"/>
      <c r="D54" s="168"/>
      <c r="E54" s="39"/>
      <c r="G54" s="389" t="str">
        <f>CONCATENATE("",E1," Tot Exp/Non-Appr Must Be:")</f>
        <v>2024 Tot Exp/Non-Appr Must Be:</v>
      </c>
      <c r="H54" s="390"/>
      <c r="I54" s="391"/>
      <c r="J54" s="392">
        <f>IF(J52&gt;0,IF(E76&lt;E61,IF(J52=G65,E76,((J52-G65)*(1-D78))+E61),E76+(J52-G65)),0)</f>
        <v>0</v>
      </c>
    </row>
    <row r="55" spans="2:11" x14ac:dyDescent="0.2">
      <c r="B55" s="183"/>
      <c r="C55" s="168"/>
      <c r="D55" s="168"/>
      <c r="E55" s="39"/>
      <c r="G55" s="393" t="s">
        <v>423</v>
      </c>
      <c r="H55" s="394"/>
      <c r="I55" s="394"/>
      <c r="J55" s="395">
        <f>IF(J52&gt;0,J54-E76,0)</f>
        <v>0</v>
      </c>
    </row>
    <row r="56" spans="2:11" x14ac:dyDescent="0.25">
      <c r="B56" s="172" t="s">
        <v>67</v>
      </c>
      <c r="C56" s="168"/>
      <c r="D56" s="168"/>
      <c r="E56" s="39"/>
      <c r="J56" s="2"/>
    </row>
    <row r="57" spans="2:11" x14ac:dyDescent="0.2">
      <c r="B57" s="184" t="s">
        <v>8</v>
      </c>
      <c r="C57" s="168"/>
      <c r="D57" s="168"/>
      <c r="E57" s="141">
        <f>'NR Rebate'!E10*-1</f>
        <v>0</v>
      </c>
      <c r="G57" s="718" t="str">
        <f>CONCATENATE("Projected Carryover Into ",E1+1,"")</f>
        <v>Projected Carryover Into 2025</v>
      </c>
      <c r="H57" s="723"/>
      <c r="I57" s="723"/>
      <c r="J57" s="720"/>
    </row>
    <row r="58" spans="2:11" x14ac:dyDescent="0.2">
      <c r="B58" s="102" t="s">
        <v>9</v>
      </c>
      <c r="C58" s="168"/>
      <c r="D58" s="168"/>
      <c r="E58" s="39"/>
      <c r="G58" s="396"/>
      <c r="H58" s="383"/>
      <c r="I58" s="383"/>
      <c r="J58" s="403"/>
    </row>
    <row r="59" spans="2:11" x14ac:dyDescent="0.2">
      <c r="B59" s="163" t="s">
        <v>352</v>
      </c>
      <c r="C59" s="173" t="str">
        <f>IF(C60*0.1&lt;C58,"Exceed 10% Rule","")</f>
        <v/>
      </c>
      <c r="D59" s="173" t="str">
        <f>IF(D60*0.1&lt;D58,"Exceed 10% Rule","")</f>
        <v/>
      </c>
      <c r="E59" s="204" t="str">
        <f>IF(E60*0.1+E79&lt;E58,"Exceed 10% Rule","")</f>
        <v/>
      </c>
      <c r="G59" s="398">
        <f>D73</f>
        <v>112</v>
      </c>
      <c r="H59" s="376" t="str">
        <f>CONCATENATE("",E1-1," Ending Cash Balance (est.)")</f>
        <v>2023 Ending Cash Balance (est.)</v>
      </c>
      <c r="I59" s="399"/>
      <c r="J59" s="403"/>
    </row>
    <row r="60" spans="2:11" x14ac:dyDescent="0.2">
      <c r="B60" s="175" t="s">
        <v>68</v>
      </c>
      <c r="C60" s="591">
        <f>SUM(C46:C58)</f>
        <v>7881</v>
      </c>
      <c r="D60" s="591">
        <f>SUM(D46:D58)</f>
        <v>8691</v>
      </c>
      <c r="E60" s="591">
        <f>SUM(E46:E58)</f>
        <v>702</v>
      </c>
      <c r="G60" s="398">
        <f>E60</f>
        <v>702</v>
      </c>
      <c r="H60" s="384" t="str">
        <f>CONCATENATE("",E1," Non-AV Receipts (est.)")</f>
        <v>2024 Non-AV Receipts (est.)</v>
      </c>
      <c r="I60" s="399"/>
      <c r="J60" s="403"/>
    </row>
    <row r="61" spans="2:11" x14ac:dyDescent="0.2">
      <c r="B61" s="175" t="s">
        <v>69</v>
      </c>
      <c r="C61" s="591">
        <f>C44+C60</f>
        <v>7881</v>
      </c>
      <c r="D61" s="591">
        <f>D44+D60</f>
        <v>8712</v>
      </c>
      <c r="E61" s="591">
        <f>E44+E60</f>
        <v>814</v>
      </c>
      <c r="G61" s="400">
        <f>IF(D78&gt;0,E77,E79)</f>
        <v>7786</v>
      </c>
      <c r="H61" s="384" t="str">
        <f>CONCATENATE("",E1," Ad Valorem Tax (est.)")</f>
        <v>2024 Ad Valorem Tax (est.)</v>
      </c>
      <c r="I61" s="399"/>
      <c r="J61" s="403"/>
      <c r="K61" s="377" t="str">
        <f>IF(G61=E79,"","Note: Does not include Delinquent Taxes")</f>
        <v>Note: Does not include Delinquent Taxes</v>
      </c>
    </row>
    <row r="62" spans="2:11" x14ac:dyDescent="0.2">
      <c r="B62" s="93" t="s">
        <v>71</v>
      </c>
      <c r="C62" s="184"/>
      <c r="D62" s="184"/>
      <c r="E62" s="38"/>
      <c r="G62" s="402">
        <f>SUM(G59:G61)</f>
        <v>8600</v>
      </c>
      <c r="H62" s="384" t="str">
        <f>CONCATENATE("Total ",E1," Resources Available")</f>
        <v>Total 2024 Resources Available</v>
      </c>
      <c r="I62" s="403"/>
      <c r="J62" s="403"/>
    </row>
    <row r="63" spans="2:11" x14ac:dyDescent="0.2">
      <c r="B63" s="281" t="s">
        <v>1032</v>
      </c>
      <c r="C63" s="168">
        <v>7860</v>
      </c>
      <c r="D63" s="168">
        <v>8600</v>
      </c>
      <c r="E63" s="39">
        <v>8600</v>
      </c>
      <c r="G63" s="404"/>
      <c r="H63" s="405"/>
      <c r="I63" s="383"/>
      <c r="J63" s="403"/>
    </row>
    <row r="64" spans="2:11" x14ac:dyDescent="0.2">
      <c r="B64" s="183"/>
      <c r="C64" s="168"/>
      <c r="D64" s="168"/>
      <c r="E64" s="39"/>
      <c r="G64" s="406">
        <f>ROUND(C72*0.05+C72,0)</f>
        <v>8253</v>
      </c>
      <c r="H64" s="405" t="str">
        <f>CONCATENATE("Less ",E1-2," Expenditures + 5%")</f>
        <v>Less 2022 Expenditures + 5%</v>
      </c>
      <c r="I64" s="403"/>
      <c r="J64" s="403"/>
    </row>
    <row r="65" spans="2:10" x14ac:dyDescent="0.25">
      <c r="B65" s="183"/>
      <c r="C65" s="168"/>
      <c r="D65" s="168"/>
      <c r="E65" s="39"/>
      <c r="G65" s="407">
        <f>G62-G64</f>
        <v>347</v>
      </c>
      <c r="H65" s="408" t="str">
        <f>CONCATENATE("Projected ",E1+1," carryover (est.)")</f>
        <v>Projected 2025 carryover (est.)</v>
      </c>
      <c r="I65" s="409"/>
      <c r="J65" s="410"/>
    </row>
    <row r="66" spans="2:10" x14ac:dyDescent="0.25">
      <c r="B66" s="183"/>
      <c r="C66" s="168"/>
      <c r="D66" s="168"/>
      <c r="E66" s="39"/>
      <c r="G66" s="2"/>
      <c r="H66" s="2"/>
      <c r="I66" s="2"/>
    </row>
    <row r="67" spans="2:10" x14ac:dyDescent="0.2">
      <c r="B67" s="183"/>
      <c r="C67" s="168"/>
      <c r="D67" s="168"/>
      <c r="E67" s="39"/>
      <c r="G67" s="702" t="s">
        <v>722</v>
      </c>
      <c r="H67" s="703"/>
      <c r="I67" s="703"/>
      <c r="J67" s="704"/>
    </row>
    <row r="68" spans="2:10" x14ac:dyDescent="0.2">
      <c r="B68" s="183"/>
      <c r="C68" s="168"/>
      <c r="D68" s="168"/>
      <c r="E68" s="39"/>
      <c r="G68" s="705"/>
      <c r="H68" s="706"/>
      <c r="I68" s="706"/>
      <c r="J68" s="707"/>
    </row>
    <row r="69" spans="2:10" x14ac:dyDescent="0.2">
      <c r="B69" s="184" t="str">
        <f>CONCATENATE("Cash Forward (",E1," column)")</f>
        <v>Cash Forward (2024 column)</v>
      </c>
      <c r="C69" s="168"/>
      <c r="D69" s="168"/>
      <c r="E69" s="39"/>
      <c r="G69" s="577">
        <f>'Summary Budget Hearing Notice'!H19</f>
        <v>0.379</v>
      </c>
      <c r="H69" s="376" t="str">
        <f>CONCATENATE("",E1," Estimated Fund Mill Rate")</f>
        <v>2024 Estimated Fund Mill Rate</v>
      </c>
      <c r="I69" s="578"/>
      <c r="J69" s="579"/>
    </row>
    <row r="70" spans="2:10" x14ac:dyDescent="0.2">
      <c r="B70" s="184" t="s">
        <v>9</v>
      </c>
      <c r="C70" s="168"/>
      <c r="D70" s="168"/>
      <c r="E70" s="39"/>
      <c r="G70" s="580">
        <f>'Summary Budget Hearing Notice'!E18</f>
        <v>5.8029999999999999</v>
      </c>
      <c r="H70" s="376" t="str">
        <f>CONCATENATE("",E1-1," Fund Mill Rate")</f>
        <v>2023 Fund Mill Rate</v>
      </c>
      <c r="I70" s="578"/>
      <c r="J70" s="579"/>
    </row>
    <row r="71" spans="2:10" x14ac:dyDescent="0.2">
      <c r="B71" s="184" t="s">
        <v>353</v>
      </c>
      <c r="C71" s="173" t="str">
        <f>IF(C72*0.1&lt;C70,"Exceed 10% Rule","")</f>
        <v/>
      </c>
      <c r="D71" s="173" t="str">
        <f>IF(D72*0.1&lt;D70,"Exceed 10% Rule","")</f>
        <v/>
      </c>
      <c r="E71" s="204" t="str">
        <f>IF(E72*0.1&lt;E70,"Exceed 10% Rule","")</f>
        <v/>
      </c>
      <c r="G71" s="581">
        <f>inputOth!D20</f>
        <v>50.973999999999997</v>
      </c>
      <c r="H71" s="582" t="s">
        <v>723</v>
      </c>
      <c r="I71" s="578"/>
      <c r="J71" s="579"/>
    </row>
    <row r="72" spans="2:10" x14ac:dyDescent="0.2">
      <c r="B72" s="175" t="s">
        <v>75</v>
      </c>
      <c r="C72" s="141">
        <f>SUM(C63:C70)</f>
        <v>7860</v>
      </c>
      <c r="D72" s="141">
        <f>SUM(D63:D70)</f>
        <v>8600</v>
      </c>
      <c r="E72" s="141">
        <f>SUM(E63:E70)</f>
        <v>8600</v>
      </c>
      <c r="G72" s="577" t="e">
        <f>'Summary Budget Hearing Notice'!H52</f>
        <v>#REF!</v>
      </c>
      <c r="H72" s="376" t="str">
        <f>CONCATENATE(E1," Estimated Total Mill Rate")</f>
        <v>2024 Estimated Total Mill Rate</v>
      </c>
      <c r="I72" s="578"/>
      <c r="J72" s="579"/>
    </row>
    <row r="73" spans="2:10" x14ac:dyDescent="0.2">
      <c r="B73" s="93" t="s">
        <v>138</v>
      </c>
      <c r="C73" s="141">
        <f>C61-C72</f>
        <v>21</v>
      </c>
      <c r="D73" s="141">
        <f>D61-D72</f>
        <v>112</v>
      </c>
      <c r="E73" s="193" t="s">
        <v>49</v>
      </c>
      <c r="G73" s="583">
        <f>'Summary Budget Hearing Notice'!E52</f>
        <v>54.954999999999991</v>
      </c>
      <c r="H73" s="376" t="str">
        <f>CONCATENATE(E1-1," Total Mill Rate")</f>
        <v>2023 Total Mill Rate</v>
      </c>
      <c r="I73" s="578"/>
      <c r="J73" s="579"/>
    </row>
    <row r="74" spans="2:10" x14ac:dyDescent="0.2">
      <c r="B74" s="108" t="str">
        <f>CONCATENATE("",E1-2,"/",E1-1,"/",E1," Budget Authority Amount:")</f>
        <v>2022/2023/2024 Budget Authority Amount:</v>
      </c>
      <c r="C74" s="446">
        <f>inputOth!B69</f>
        <v>8000</v>
      </c>
      <c r="D74" s="446">
        <f>inputPrYr!D23</f>
        <v>8600</v>
      </c>
      <c r="E74" s="141">
        <f>E72</f>
        <v>8600</v>
      </c>
      <c r="G74" s="396"/>
      <c r="H74" s="383"/>
      <c r="I74" s="383"/>
      <c r="J74" s="403"/>
    </row>
    <row r="75" spans="2:10" x14ac:dyDescent="0.2">
      <c r="B75" s="80"/>
      <c r="C75" s="695" t="s">
        <v>320</v>
      </c>
      <c r="D75" s="696"/>
      <c r="E75" s="39"/>
      <c r="G75" s="708" t="s">
        <v>724</v>
      </c>
      <c r="H75" s="709"/>
      <c r="I75" s="709"/>
      <c r="J75" s="712" t="e">
        <f>IF(G72&gt;G71, "Yes", "No")</f>
        <v>#REF!</v>
      </c>
    </row>
    <row r="76" spans="2:10" x14ac:dyDescent="0.2">
      <c r="B76" s="329" t="str">
        <f>CONCATENATE(C100,"     ",D100)</f>
        <v xml:space="preserve">     </v>
      </c>
      <c r="C76" s="697" t="s">
        <v>321</v>
      </c>
      <c r="D76" s="698"/>
      <c r="E76" s="141">
        <f>E72+E75</f>
        <v>8600</v>
      </c>
      <c r="G76" s="710"/>
      <c r="H76" s="711"/>
      <c r="I76" s="711"/>
      <c r="J76" s="713"/>
    </row>
    <row r="77" spans="2:10" x14ac:dyDescent="0.2">
      <c r="B77" s="329" t="str">
        <f>CONCATENATE(C101,"     ",D101)</f>
        <v xml:space="preserve">     </v>
      </c>
      <c r="C77" s="186"/>
      <c r="D77" s="107" t="s">
        <v>76</v>
      </c>
      <c r="E77" s="141">
        <f>IF(E76-E61&gt;0,E76-E61,0)</f>
        <v>7786</v>
      </c>
      <c r="G77" s="714" t="e">
        <f>IF(J75="Yes", "Follow procedure prescribed by KSA 79-2988 to exceed the Revenue Neutral Rate.", " ")</f>
        <v>#REF!</v>
      </c>
      <c r="H77" s="714"/>
      <c r="I77" s="714"/>
      <c r="J77" s="714"/>
    </row>
    <row r="78" spans="2:10" x14ac:dyDescent="0.2">
      <c r="B78" s="107"/>
      <c r="C78" s="255" t="s">
        <v>319</v>
      </c>
      <c r="D78" s="450">
        <f>inputOth!$E$52</f>
        <v>1.4E-2</v>
      </c>
      <c r="E78" s="141">
        <f>ROUND(IF(D78&gt;0,(E77*D78),0),0)</f>
        <v>109</v>
      </c>
      <c r="G78" s="715"/>
      <c r="H78" s="715"/>
      <c r="I78" s="715"/>
      <c r="J78" s="715"/>
    </row>
    <row r="79" spans="2:10" ht="16.5" thickBot="1" x14ac:dyDescent="0.25">
      <c r="B79" s="28"/>
      <c r="C79" s="676" t="str">
        <f>CONCATENATE("Amount of  ",$E$1-1," Ad Valorem Tax")</f>
        <v>Amount of  2023 Ad Valorem Tax</v>
      </c>
      <c r="D79" s="699"/>
      <c r="E79" s="381">
        <f>E77+E78</f>
        <v>7895</v>
      </c>
      <c r="F79" s="185"/>
      <c r="G79" s="715"/>
      <c r="H79" s="715"/>
      <c r="I79" s="715"/>
      <c r="J79" s="715"/>
    </row>
    <row r="80" spans="2:10" ht="16.5" thickTop="1" x14ac:dyDescent="0.2">
      <c r="B80" s="28"/>
      <c r="C80" s="80"/>
      <c r="D80" s="28"/>
      <c r="E80" s="80"/>
      <c r="F80" s="451" t="str">
        <f>IF(E72/0.95-E72&lt;E75,"Exceeds 5%","")</f>
        <v/>
      </c>
    </row>
    <row r="81" spans="2:5" x14ac:dyDescent="0.2">
      <c r="B81" s="537" t="s">
        <v>539</v>
      </c>
      <c r="C81" s="523"/>
      <c r="D81" s="69"/>
      <c r="E81" s="524"/>
    </row>
    <row r="82" spans="2:5" x14ac:dyDescent="0.2">
      <c r="B82" s="396"/>
      <c r="C82" s="80"/>
      <c r="D82" s="28"/>
      <c r="E82" s="525"/>
    </row>
    <row r="83" spans="2:5" x14ac:dyDescent="0.2">
      <c r="B83" s="514"/>
      <c r="C83" s="526"/>
      <c r="D83" s="43"/>
      <c r="E83" s="527"/>
    </row>
    <row r="84" spans="2:5" x14ac:dyDescent="0.2">
      <c r="B84" s="28"/>
      <c r="C84" s="80"/>
      <c r="D84" s="28"/>
      <c r="E84" s="80"/>
    </row>
    <row r="85" spans="2:5" x14ac:dyDescent="0.2">
      <c r="B85" s="272" t="s">
        <v>78</v>
      </c>
      <c r="C85" s="464"/>
      <c r="D85" s="28"/>
      <c r="E85" s="28"/>
    </row>
    <row r="86" spans="2:5" x14ac:dyDescent="0.2">
      <c r="B86" s="24"/>
    </row>
    <row r="98" spans="3:4" hidden="1" x14ac:dyDescent="0.2">
      <c r="C98" s="328" t="str">
        <f>IF(C32&gt;C34,"See Tab A","")</f>
        <v/>
      </c>
      <c r="D98" s="328" t="str">
        <f>IF(D30&gt;D34,"See Tab C","")</f>
        <v/>
      </c>
    </row>
    <row r="99" spans="3:4" hidden="1" x14ac:dyDescent="0.2">
      <c r="C99" s="328" t="str">
        <f>IF(C33&lt;0,"See Tab B","")</f>
        <v/>
      </c>
      <c r="D99" s="328" t="str">
        <f>IF(D33&lt;0,"See Tab D","")</f>
        <v/>
      </c>
    </row>
    <row r="100" spans="3:4" hidden="1" x14ac:dyDescent="0.2">
      <c r="C100" s="328" t="str">
        <f>IF(C70&gt;C74,"See Tab A","")</f>
        <v/>
      </c>
      <c r="D100" s="328" t="str">
        <f>IF(D70&gt;D74,"See Tab C","")</f>
        <v/>
      </c>
    </row>
    <row r="101" spans="3:4" hidden="1" x14ac:dyDescent="0.2">
      <c r="C101" s="328" t="str">
        <f>IF(C73&lt;0,"See Tab B","")</f>
        <v/>
      </c>
      <c r="D101" s="328" t="str">
        <f>IF(D73&lt;0,"See Tab D","")</f>
        <v/>
      </c>
    </row>
  </sheetData>
  <sheetProtection sheet="1" objects="1" scenarios="1"/>
  <mergeCells count="19">
    <mergeCell ref="C35:D35"/>
    <mergeCell ref="C36:D36"/>
    <mergeCell ref="C40:D40"/>
    <mergeCell ref="G8:J8"/>
    <mergeCell ref="G15:J15"/>
    <mergeCell ref="G25:J26"/>
    <mergeCell ref="G33:I34"/>
    <mergeCell ref="J33:J34"/>
    <mergeCell ref="G35:J37"/>
    <mergeCell ref="C79:D79"/>
    <mergeCell ref="C39:D39"/>
    <mergeCell ref="C75:D75"/>
    <mergeCell ref="C76:D76"/>
    <mergeCell ref="G50:J50"/>
    <mergeCell ref="G57:J57"/>
    <mergeCell ref="G67:J68"/>
    <mergeCell ref="G75:I76"/>
    <mergeCell ref="J75:J76"/>
    <mergeCell ref="G77:J79"/>
  </mergeCells>
  <phoneticPr fontId="0" type="noConversion"/>
  <conditionalFormatting sqref="C18">
    <cfRule type="cellIs" dxfId="116" priority="27" stopIfTrue="1" operator="greaterThan">
      <formula>$C$20*0.1</formula>
    </cfRule>
  </conditionalFormatting>
  <conditionalFormatting sqref="C30">
    <cfRule type="cellIs" dxfId="115" priority="17" stopIfTrue="1" operator="greaterThan">
      <formula>$C$32*0.1</formula>
    </cfRule>
  </conditionalFormatting>
  <conditionalFormatting sqref="C32">
    <cfRule type="expression" dxfId="114" priority="8">
      <formula>$C$32&gt;$C$34</formula>
    </cfRule>
  </conditionalFormatting>
  <conditionalFormatting sqref="C33">
    <cfRule type="expression" dxfId="113" priority="7">
      <formula>$C$33&lt;0</formula>
    </cfRule>
  </conditionalFormatting>
  <conditionalFormatting sqref="C58">
    <cfRule type="cellIs" dxfId="112" priority="29" stopIfTrue="1" operator="greaterThan">
      <formula>$C$60*0.1</formula>
    </cfRule>
  </conditionalFormatting>
  <conditionalFormatting sqref="C70">
    <cfRule type="cellIs" dxfId="111" priority="22" stopIfTrue="1" operator="greaterThan">
      <formula>$C$72*0.1</formula>
    </cfRule>
  </conditionalFormatting>
  <conditionalFormatting sqref="C72">
    <cfRule type="expression" dxfId="110" priority="4">
      <formula>$C$72&gt;$C$74</formula>
    </cfRule>
  </conditionalFormatting>
  <conditionalFormatting sqref="C73">
    <cfRule type="expression" dxfId="109" priority="3">
      <formula>$C$73&lt;0</formula>
    </cfRule>
  </conditionalFormatting>
  <conditionalFormatting sqref="D18">
    <cfRule type="cellIs" dxfId="108" priority="26" stopIfTrue="1" operator="greaterThan">
      <formula>$D$20*0.1</formula>
    </cfRule>
  </conditionalFormatting>
  <conditionalFormatting sqref="D30">
    <cfRule type="cellIs" dxfId="107" priority="18" stopIfTrue="1" operator="greaterThan">
      <formula>$D$32*0.1</formula>
    </cfRule>
  </conditionalFormatting>
  <conditionalFormatting sqref="D32">
    <cfRule type="expression" dxfId="106" priority="6">
      <formula>$D$32&gt;$D$34</formula>
    </cfRule>
  </conditionalFormatting>
  <conditionalFormatting sqref="D33">
    <cfRule type="expression" dxfId="105" priority="5">
      <formula>$D$33&lt;0</formula>
    </cfRule>
  </conditionalFormatting>
  <conditionalFormatting sqref="D58">
    <cfRule type="cellIs" dxfId="104" priority="28" stopIfTrue="1" operator="greaterThan">
      <formula>$D$60*0.1</formula>
    </cfRule>
  </conditionalFormatting>
  <conditionalFormatting sqref="D70">
    <cfRule type="cellIs" dxfId="103" priority="23" stopIfTrue="1" operator="greaterThan">
      <formula>$D$72*0.1</formula>
    </cfRule>
  </conditionalFormatting>
  <conditionalFormatting sqref="D72">
    <cfRule type="expression" dxfId="102" priority="2">
      <formula>$D$72&gt;$D$73</formula>
    </cfRule>
  </conditionalFormatting>
  <conditionalFormatting sqref="D73">
    <cfRule type="expression" dxfId="101" priority="1">
      <formula>$D$73&lt;0</formula>
    </cfRule>
  </conditionalFormatting>
  <conditionalFormatting sqref="E18">
    <cfRule type="cellIs" dxfId="100" priority="30" stopIfTrue="1" operator="greaterThan">
      <formula>$E$20*0.1+E39</formula>
    </cfRule>
  </conditionalFormatting>
  <conditionalFormatting sqref="E30">
    <cfRule type="cellIs" dxfId="99" priority="15" stopIfTrue="1" operator="greaterThan">
      <formula>$E$32*0.1</formula>
    </cfRule>
  </conditionalFormatting>
  <conditionalFormatting sqref="E35">
    <cfRule type="cellIs" dxfId="98" priority="16" stopIfTrue="1" operator="greaterThan">
      <formula>$E$32/0.95-$E$32</formula>
    </cfRule>
  </conditionalFormatting>
  <conditionalFormatting sqref="E58">
    <cfRule type="cellIs" dxfId="97" priority="31" stopIfTrue="1" operator="greaterThan">
      <formula>$E$60*0.1+E79</formula>
    </cfRule>
  </conditionalFormatting>
  <conditionalFormatting sqref="E70">
    <cfRule type="cellIs" dxfId="96" priority="13" stopIfTrue="1" operator="greaterThan">
      <formula>$E$72*0.1</formula>
    </cfRule>
  </conditionalFormatting>
  <conditionalFormatting sqref="E75">
    <cfRule type="cellIs" dxfId="95" priority="14" stopIfTrue="1" operator="greaterThan">
      <formula>$E$72/0.95-$E$72</formula>
    </cfRule>
  </conditionalFormatting>
  <conditionalFormatting sqref="J33">
    <cfRule type="containsText" dxfId="94" priority="10" operator="containsText" text="Yes">
      <formula>NOT(ISERROR(SEARCH("Yes",J33)))</formula>
    </cfRule>
  </conditionalFormatting>
  <conditionalFormatting sqref="J75">
    <cfRule type="containsText" dxfId="93" priority="9" operator="containsText" text="Yes">
      <formula>NOT(ISERROR(SEARCH("Yes",J75)))</formula>
    </cfRule>
  </conditionalFormatting>
  <pageMargins left="0.5" right="0.5" top="1" bottom="0.5" header="0.5" footer="0.5"/>
  <pageSetup scale="55"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101"/>
  <sheetViews>
    <sheetView zoomScaleNormal="100" workbookViewId="0">
      <selection activeCell="E25" sqref="E25"/>
    </sheetView>
  </sheetViews>
  <sheetFormatPr defaultColWidth="8.88671875" defaultRowHeight="15.75" x14ac:dyDescent="0.2"/>
  <cols>
    <col min="1" max="1" width="2.44140625" style="26" customWidth="1"/>
    <col min="2" max="2" width="31.109375" style="26" customWidth="1"/>
    <col min="3" max="4" width="15.77734375" style="26" customWidth="1"/>
    <col min="5" max="5" width="16.33203125" style="26" customWidth="1"/>
    <col min="6" max="6" width="8.88671875" style="26"/>
    <col min="7" max="7" width="10.21875" style="26" customWidth="1"/>
    <col min="8" max="8" width="8.88671875" style="26"/>
    <col min="9" max="9" width="5.5546875" style="26" customWidth="1"/>
    <col min="10" max="10" width="10" style="26" customWidth="1"/>
    <col min="11" max="16384" width="8.88671875" style="26"/>
  </cols>
  <sheetData>
    <row r="1" spans="2:10" x14ac:dyDescent="0.2">
      <c r="B1" s="47" t="str">
        <f>(inputPrYr!D3)</f>
        <v>Wellsville</v>
      </c>
      <c r="C1" s="28"/>
      <c r="D1" s="28"/>
      <c r="E1" s="80">
        <f>inputPrYr!C6</f>
        <v>2024</v>
      </c>
    </row>
    <row r="2" spans="2:10" x14ac:dyDescent="0.2">
      <c r="B2" s="28"/>
      <c r="C2" s="28"/>
      <c r="D2" s="28"/>
      <c r="E2" s="107"/>
    </row>
    <row r="3" spans="2:10" x14ac:dyDescent="0.2">
      <c r="B3" s="161" t="s">
        <v>123</v>
      </c>
      <c r="C3" s="115"/>
      <c r="D3" s="115"/>
      <c r="E3" s="133"/>
    </row>
    <row r="4" spans="2:10" x14ac:dyDescent="0.2">
      <c r="B4" s="29" t="s">
        <v>59</v>
      </c>
      <c r="C4" s="442" t="s">
        <v>479</v>
      </c>
      <c r="D4" s="443" t="s">
        <v>480</v>
      </c>
      <c r="E4" s="87" t="s">
        <v>481</v>
      </c>
    </row>
    <row r="5" spans="2:10" x14ac:dyDescent="0.2">
      <c r="B5" s="332" t="str">
        <f>inputPrYr!B24</f>
        <v>Special Tort Claim</v>
      </c>
      <c r="C5" s="138" t="str">
        <f>CONCATENATE("Actual for ",E1-2,"")</f>
        <v>Actual for 2022</v>
      </c>
      <c r="D5" s="138" t="str">
        <f>CONCATENATE("Estimate for ",E1-1,"")</f>
        <v>Estimate for 2023</v>
      </c>
      <c r="E5" s="122" t="str">
        <f>CONCATENATE("Year for ",E1,"")</f>
        <v>Year for 2024</v>
      </c>
    </row>
    <row r="6" spans="2:10" x14ac:dyDescent="0.2">
      <c r="B6" s="163" t="s">
        <v>137</v>
      </c>
      <c r="C6" s="168">
        <v>8566</v>
      </c>
      <c r="D6" s="166">
        <f>C34</f>
        <v>6946</v>
      </c>
      <c r="E6" s="141">
        <f>D34</f>
        <v>3445</v>
      </c>
    </row>
    <row r="7" spans="2:10" x14ac:dyDescent="0.2">
      <c r="B7" s="167" t="s">
        <v>139</v>
      </c>
      <c r="C7" s="166"/>
      <c r="D7" s="166"/>
      <c r="E7" s="141"/>
    </row>
    <row r="8" spans="2:10" x14ac:dyDescent="0.2">
      <c r="B8" s="93" t="s">
        <v>60</v>
      </c>
      <c r="C8" s="168">
        <v>25475</v>
      </c>
      <c r="D8" s="166">
        <f>IF(inputPrYr!H21&gt;0,inputPrYr!G28,inputPrYr!E24)</f>
        <v>33814</v>
      </c>
      <c r="E8" s="193" t="s">
        <v>49</v>
      </c>
    </row>
    <row r="9" spans="2:10" x14ac:dyDescent="0.2">
      <c r="B9" s="93" t="s">
        <v>61</v>
      </c>
      <c r="C9" s="168">
        <v>928</v>
      </c>
      <c r="D9" s="168"/>
      <c r="E9" s="39"/>
      <c r="G9" s="718" t="str">
        <f>CONCATENATE("Desired Carryover Into ",E1+1,"")</f>
        <v>Desired Carryover Into 2025</v>
      </c>
      <c r="H9" s="700"/>
      <c r="I9" s="700"/>
      <c r="J9" s="701"/>
    </row>
    <row r="10" spans="2:10" x14ac:dyDescent="0.2">
      <c r="B10" s="93" t="s">
        <v>62</v>
      </c>
      <c r="C10" s="168">
        <v>3307</v>
      </c>
      <c r="D10" s="168">
        <v>2522</v>
      </c>
      <c r="E10" s="141">
        <f>Mvalloc!D12</f>
        <v>2839</v>
      </c>
      <c r="G10" s="382"/>
      <c r="H10" s="383"/>
      <c r="I10" s="384"/>
      <c r="J10" s="385"/>
    </row>
    <row r="11" spans="2:10" x14ac:dyDescent="0.2">
      <c r="B11" s="93" t="s">
        <v>63</v>
      </c>
      <c r="C11" s="168">
        <v>75</v>
      </c>
      <c r="D11" s="168">
        <v>53</v>
      </c>
      <c r="E11" s="141">
        <f>Mvalloc!E12</f>
        <v>62</v>
      </c>
      <c r="G11" s="386" t="s">
        <v>349</v>
      </c>
      <c r="H11" s="384"/>
      <c r="I11" s="384"/>
      <c r="J11" s="387">
        <v>0</v>
      </c>
    </row>
    <row r="12" spans="2:10" x14ac:dyDescent="0.2">
      <c r="B12" s="102" t="s">
        <v>130</v>
      </c>
      <c r="C12" s="168"/>
      <c r="D12" s="168">
        <v>6</v>
      </c>
      <c r="E12" s="141">
        <f>Mvalloc!F12</f>
        <v>23</v>
      </c>
      <c r="G12" s="382" t="s">
        <v>350</v>
      </c>
      <c r="H12" s="383"/>
      <c r="I12" s="383"/>
      <c r="J12" s="388" t="str">
        <f>IF(J11=0,"",ROUND((J11+E40-G24)/inputOth!E7*1000,3)-G29)</f>
        <v/>
      </c>
    </row>
    <row r="13" spans="2:10" x14ac:dyDescent="0.2">
      <c r="B13" s="508" t="s">
        <v>528</v>
      </c>
      <c r="C13" s="168">
        <v>90</v>
      </c>
      <c r="D13" s="168">
        <v>91</v>
      </c>
      <c r="E13" s="141">
        <f>Mvalloc!G12</f>
        <v>82</v>
      </c>
      <c r="G13" s="389" t="str">
        <f>CONCATENATE("",E1," Tot Exp/Non-Appr Must Be:")</f>
        <v>2024 Tot Exp/Non-Appr Must Be:</v>
      </c>
      <c r="H13" s="390"/>
      <c r="I13" s="391"/>
      <c r="J13" s="392">
        <f>IF(J11&gt;0,IF(E37&lt;E22,IF(J11=G24,E37,((J11-G24)*(1-D39))+E22),E37+(J11-G24)),0)</f>
        <v>0</v>
      </c>
    </row>
    <row r="14" spans="2:10" x14ac:dyDescent="0.2">
      <c r="B14" s="508" t="s">
        <v>529</v>
      </c>
      <c r="C14" s="168"/>
      <c r="D14" s="168">
        <v>13</v>
      </c>
      <c r="E14" s="141">
        <f>Mvalloc!H12</f>
        <v>14</v>
      </c>
      <c r="G14" s="393" t="s">
        <v>423</v>
      </c>
      <c r="H14" s="394"/>
      <c r="I14" s="394"/>
      <c r="J14" s="395">
        <f>IF(J11&gt;0,J13-E37,0)</f>
        <v>0</v>
      </c>
    </row>
    <row r="15" spans="2:10" x14ac:dyDescent="0.25">
      <c r="B15" s="183" t="s">
        <v>1039</v>
      </c>
      <c r="C15" s="168">
        <v>2425</v>
      </c>
      <c r="D15" s="168"/>
      <c r="E15" s="39"/>
      <c r="J15" s="2"/>
    </row>
    <row r="16" spans="2:10" x14ac:dyDescent="0.2">
      <c r="B16" s="183"/>
      <c r="C16" s="168"/>
      <c r="D16" s="168"/>
      <c r="E16" s="39"/>
      <c r="G16" s="718" t="str">
        <f>CONCATENATE("Projected Carryover Into ",E1+1,"")</f>
        <v>Projected Carryover Into 2025</v>
      </c>
      <c r="H16" s="719"/>
      <c r="I16" s="719"/>
      <c r="J16" s="720"/>
    </row>
    <row r="17" spans="2:11" x14ac:dyDescent="0.25">
      <c r="B17" s="172" t="s">
        <v>67</v>
      </c>
      <c r="C17" s="168"/>
      <c r="D17" s="168"/>
      <c r="E17" s="39"/>
      <c r="G17" s="382"/>
      <c r="H17" s="384"/>
      <c r="I17" s="384"/>
      <c r="J17" s="397"/>
    </row>
    <row r="18" spans="2:11" x14ac:dyDescent="0.25">
      <c r="B18" s="184" t="s">
        <v>8</v>
      </c>
      <c r="C18" s="168"/>
      <c r="D18" s="168"/>
      <c r="E18" s="141">
        <f>'NR Rebate'!E11*-1</f>
        <v>0</v>
      </c>
      <c r="G18" s="398">
        <f>D34</f>
        <v>3445</v>
      </c>
      <c r="H18" s="376" t="str">
        <f>CONCATENATE("",E1-1," Ending Cash Balance (est.)")</f>
        <v>2023 Ending Cash Balance (est.)</v>
      </c>
      <c r="I18" s="399"/>
      <c r="J18" s="397"/>
    </row>
    <row r="19" spans="2:11" x14ac:dyDescent="0.25">
      <c r="B19" s="102" t="s">
        <v>9</v>
      </c>
      <c r="C19" s="168"/>
      <c r="D19" s="168"/>
      <c r="E19" s="39"/>
      <c r="G19" s="398">
        <f>E21</f>
        <v>3020</v>
      </c>
      <c r="H19" s="384" t="str">
        <f>CONCATENATE("",E1," Non-AV Receipts (est.)")</f>
        <v>2024 Non-AV Receipts (est.)</v>
      </c>
      <c r="I19" s="399"/>
      <c r="J19" s="397"/>
    </row>
    <row r="20" spans="2:11" x14ac:dyDescent="0.2">
      <c r="B20" s="163" t="s">
        <v>352</v>
      </c>
      <c r="C20" s="173" t="str">
        <f>IF(C21*0.1&lt;C19,"Exceed 10% Rule","")</f>
        <v/>
      </c>
      <c r="D20" s="173" t="str">
        <f>IF(D21*0.1&lt;D19,"Exceed 10% Rule","")</f>
        <v/>
      </c>
      <c r="E20" s="204" t="str">
        <f>IF(E21*0.1+E40&lt;E19,"Exceed 10% Rule","")</f>
        <v/>
      </c>
      <c r="G20" s="400">
        <f>IF(E39&gt;0,E38,E40)</f>
        <v>35535</v>
      </c>
      <c r="H20" s="384" t="str">
        <f>CONCATENATE("",E1," Ad Valorem Tax (est.)")</f>
        <v>2024 Ad Valorem Tax (est.)</v>
      </c>
      <c r="I20" s="399"/>
      <c r="J20" s="378"/>
      <c r="K20" s="377" t="str">
        <f>IF(G20=E40,"","Note: Does not include Delinquent Taxes")</f>
        <v>Note: Does not include Delinquent Taxes</v>
      </c>
    </row>
    <row r="21" spans="2:11" x14ac:dyDescent="0.25">
      <c r="B21" s="175" t="s">
        <v>68</v>
      </c>
      <c r="C21" s="591">
        <f>SUM(C8:C19)</f>
        <v>32300</v>
      </c>
      <c r="D21" s="591">
        <f>SUM(D8:D19)</f>
        <v>36499</v>
      </c>
      <c r="E21" s="591">
        <f>SUM(E8:E19)</f>
        <v>3020</v>
      </c>
      <c r="G21" s="398">
        <f>SUM(G18:G20)</f>
        <v>42000</v>
      </c>
      <c r="H21" s="384" t="str">
        <f>CONCATENATE("Total ",E1," Resources Available")</f>
        <v>Total 2024 Resources Available</v>
      </c>
      <c r="I21" s="399"/>
      <c r="J21" s="397"/>
    </row>
    <row r="22" spans="2:11" x14ac:dyDescent="0.25">
      <c r="B22" s="175" t="s">
        <v>69</v>
      </c>
      <c r="C22" s="591">
        <f>C6+C21</f>
        <v>40866</v>
      </c>
      <c r="D22" s="591">
        <f>D6+D21</f>
        <v>43445</v>
      </c>
      <c r="E22" s="591">
        <f>E6+E21</f>
        <v>6465</v>
      </c>
      <c r="G22" s="434"/>
      <c r="H22" s="384"/>
      <c r="I22" s="384"/>
      <c r="J22" s="397"/>
    </row>
    <row r="23" spans="2:11" x14ac:dyDescent="0.25">
      <c r="B23" s="93" t="s">
        <v>71</v>
      </c>
      <c r="C23" s="184"/>
      <c r="D23" s="184"/>
      <c r="E23" s="38"/>
      <c r="G23" s="400">
        <f>ROUND(C33*0.05+C33,0)</f>
        <v>35616</v>
      </c>
      <c r="H23" s="384" t="str">
        <f>CONCATENATE("Less ",E1-2," Expenditures + 5%")</f>
        <v>Less 2022 Expenditures + 5%</v>
      </c>
      <c r="I23" s="399"/>
      <c r="J23" s="397"/>
    </row>
    <row r="24" spans="2:11" x14ac:dyDescent="0.25">
      <c r="B24" s="197" t="s">
        <v>1038</v>
      </c>
      <c r="C24" s="168">
        <v>33920</v>
      </c>
      <c r="D24" s="168">
        <v>40000</v>
      </c>
      <c r="E24" s="61">
        <v>42000</v>
      </c>
      <c r="F24" s="196"/>
      <c r="G24" s="435">
        <f>G21-G23</f>
        <v>6384</v>
      </c>
      <c r="H24" s="436" t="str">
        <f>CONCATENATE("Projected ",E1+1," carryover (est.)")</f>
        <v>Projected 2025 carryover (est.)</v>
      </c>
      <c r="I24" s="437"/>
      <c r="J24" s="410"/>
    </row>
    <row r="25" spans="2:11" x14ac:dyDescent="0.25">
      <c r="B25" s="197"/>
      <c r="C25" s="168"/>
      <c r="D25" s="168"/>
      <c r="E25" s="61"/>
      <c r="G25" s="2"/>
      <c r="H25" s="2"/>
      <c r="I25" s="2"/>
      <c r="J25" s="2"/>
    </row>
    <row r="26" spans="2:11" x14ac:dyDescent="0.2">
      <c r="B26" s="197"/>
      <c r="C26" s="168"/>
      <c r="D26" s="168"/>
      <c r="E26" s="61"/>
      <c r="G26" s="702" t="s">
        <v>722</v>
      </c>
      <c r="H26" s="703"/>
      <c r="I26" s="703"/>
      <c r="J26" s="704"/>
    </row>
    <row r="27" spans="2:11" x14ac:dyDescent="0.2">
      <c r="B27" s="183"/>
      <c r="C27" s="168"/>
      <c r="D27" s="168"/>
      <c r="E27" s="39"/>
      <c r="G27" s="705"/>
      <c r="H27" s="706"/>
      <c r="I27" s="706"/>
      <c r="J27" s="707"/>
    </row>
    <row r="28" spans="2:11" x14ac:dyDescent="0.2">
      <c r="B28" s="183"/>
      <c r="C28" s="168"/>
      <c r="D28" s="168"/>
      <c r="E28" s="39"/>
      <c r="G28" s="577">
        <f>'Summary Budget Hearing Notice'!H20</f>
        <v>1.728</v>
      </c>
      <c r="H28" s="376" t="str">
        <f>CONCATENATE("",E1," Estimated Fund Mill Rate")</f>
        <v>2024 Estimated Fund Mill Rate</v>
      </c>
      <c r="I28" s="578"/>
      <c r="J28" s="579"/>
    </row>
    <row r="29" spans="2:11" x14ac:dyDescent="0.2">
      <c r="B29" s="183"/>
      <c r="C29" s="168"/>
      <c r="D29" s="168"/>
      <c r="E29" s="39"/>
      <c r="G29" s="580">
        <f>'Summary Budget Hearing Notice'!E19</f>
        <v>0.40699999999999997</v>
      </c>
      <c r="H29" s="376" t="str">
        <f>CONCATENATE("",E1-1," Fund Mill Rate")</f>
        <v>2023 Fund Mill Rate</v>
      </c>
      <c r="I29" s="578"/>
      <c r="J29" s="579"/>
    </row>
    <row r="30" spans="2:11" x14ac:dyDescent="0.2">
      <c r="B30" s="184" t="str">
        <f>CONCATENATE("Cash Forward (",E1," column)")</f>
        <v>Cash Forward (2024 column)</v>
      </c>
      <c r="C30" s="168"/>
      <c r="D30" s="168"/>
      <c r="E30" s="39"/>
      <c r="G30" s="581">
        <f>inputOth!D20</f>
        <v>50.973999999999997</v>
      </c>
      <c r="H30" s="582" t="s">
        <v>723</v>
      </c>
      <c r="I30" s="578"/>
      <c r="J30" s="579"/>
    </row>
    <row r="31" spans="2:11" x14ac:dyDescent="0.2">
      <c r="B31" s="184" t="s">
        <v>9</v>
      </c>
      <c r="C31" s="168"/>
      <c r="D31" s="168"/>
      <c r="E31" s="39"/>
      <c r="G31" s="577" t="e">
        <f>'Summary Budget Hearing Notice'!H52</f>
        <v>#REF!</v>
      </c>
      <c r="H31" s="376" t="str">
        <f>CONCATENATE(E1," Estimated Total Mill Rate")</f>
        <v>2024 Estimated Total Mill Rate</v>
      </c>
      <c r="I31" s="578"/>
      <c r="J31" s="579"/>
    </row>
    <row r="32" spans="2:11" x14ac:dyDescent="0.2">
      <c r="B32" s="184" t="s">
        <v>353</v>
      </c>
      <c r="C32" s="173" t="str">
        <f>IF(C33*0.1&lt;C31,"Exceed 10% Rule","")</f>
        <v/>
      </c>
      <c r="D32" s="173" t="str">
        <f>IF(D33*0.1&lt;D31,"Exceed 10% Rule","")</f>
        <v/>
      </c>
      <c r="E32" s="204" t="str">
        <f>IF(E33*0.1&lt;E31,"Exceed 10% Rule","")</f>
        <v/>
      </c>
      <c r="G32" s="583">
        <f>'Summary Budget Hearing Notice'!E52</f>
        <v>54.954999999999991</v>
      </c>
      <c r="H32" s="376" t="str">
        <f>CONCATENATE(E1-1," Total Mill Rate")</f>
        <v>2023 Total Mill Rate</v>
      </c>
      <c r="I32" s="578"/>
      <c r="J32" s="579"/>
    </row>
    <row r="33" spans="2:10" x14ac:dyDescent="0.2">
      <c r="B33" s="175" t="s">
        <v>75</v>
      </c>
      <c r="C33" s="591">
        <f>SUM(C24:C31)</f>
        <v>33920</v>
      </c>
      <c r="D33" s="591">
        <f>SUM(D24:D31)</f>
        <v>40000</v>
      </c>
      <c r="E33" s="591">
        <f>SUM(E24:E31)</f>
        <v>42000</v>
      </c>
      <c r="G33" s="396"/>
      <c r="H33" s="383"/>
      <c r="I33" s="383"/>
      <c r="J33" s="403"/>
    </row>
    <row r="34" spans="2:10" x14ac:dyDescent="0.2">
      <c r="B34" s="93" t="s">
        <v>138</v>
      </c>
      <c r="C34" s="141">
        <f>C22-C33</f>
        <v>6946</v>
      </c>
      <c r="D34" s="141">
        <f>D22-D33</f>
        <v>3445</v>
      </c>
      <c r="E34" s="193" t="s">
        <v>49</v>
      </c>
      <c r="G34" s="708" t="s">
        <v>724</v>
      </c>
      <c r="H34" s="709"/>
      <c r="I34" s="709"/>
      <c r="J34" s="712" t="e">
        <f>IF(G31&gt;G30, "Yes", "No")</f>
        <v>#REF!</v>
      </c>
    </row>
    <row r="35" spans="2:10" x14ac:dyDescent="0.2">
      <c r="B35" s="108" t="str">
        <f>CONCATENATE("",E1-2,"/",E1-1,"/",E1," Budget Authority Amount:")</f>
        <v>2022/2023/2024 Budget Authority Amount:</v>
      </c>
      <c r="C35" s="446">
        <f>inputOth!B70</f>
        <v>33920</v>
      </c>
      <c r="D35" s="446">
        <f>inputPrYr!D24</f>
        <v>40000</v>
      </c>
      <c r="E35" s="141">
        <f>E33</f>
        <v>42000</v>
      </c>
      <c r="G35" s="710"/>
      <c r="H35" s="711"/>
      <c r="I35" s="711"/>
      <c r="J35" s="713"/>
    </row>
    <row r="36" spans="2:10" x14ac:dyDescent="0.2">
      <c r="B36" s="80"/>
      <c r="C36" s="695" t="s">
        <v>320</v>
      </c>
      <c r="D36" s="696"/>
      <c r="E36" s="39"/>
      <c r="G36" s="714" t="e">
        <f>IF(J34="Yes", "Follow procedure prescribed by KSA 79-2988 to exceed the Revenue Neutral Rate.", " ")</f>
        <v>#REF!</v>
      </c>
      <c r="H36" s="714"/>
      <c r="I36" s="714"/>
      <c r="J36" s="714"/>
    </row>
    <row r="37" spans="2:10" x14ac:dyDescent="0.2">
      <c r="B37" s="329" t="str">
        <f>CONCATENATE(C97,"     ",D97)</f>
        <v xml:space="preserve">     </v>
      </c>
      <c r="C37" s="697" t="s">
        <v>321</v>
      </c>
      <c r="D37" s="698"/>
      <c r="E37" s="141">
        <f>E33+E36</f>
        <v>42000</v>
      </c>
      <c r="F37" s="185"/>
      <c r="G37" s="715"/>
      <c r="H37" s="715"/>
      <c r="I37" s="715"/>
      <c r="J37" s="715"/>
    </row>
    <row r="38" spans="2:10" x14ac:dyDescent="0.2">
      <c r="B38" s="329" t="str">
        <f>CONCATENATE(C98,"     ",D98)</f>
        <v xml:space="preserve">     </v>
      </c>
      <c r="C38" s="186"/>
      <c r="D38" s="107" t="s">
        <v>76</v>
      </c>
      <c r="E38" s="141">
        <f>IF(E37-E22&gt;0,E37-E22,0)</f>
        <v>35535</v>
      </c>
      <c r="F38" s="451" t="str">
        <f>IF(E33/0.95-E33&lt;E36,"Exceeds 5%","")</f>
        <v/>
      </c>
      <c r="G38" s="715"/>
      <c r="H38" s="715"/>
      <c r="I38" s="715"/>
      <c r="J38" s="715"/>
    </row>
    <row r="39" spans="2:10" x14ac:dyDescent="0.2">
      <c r="B39" s="107"/>
      <c r="C39" s="255" t="s">
        <v>319</v>
      </c>
      <c r="D39" s="450">
        <f>inputOth!$E$52</f>
        <v>1.4E-2</v>
      </c>
      <c r="E39" s="141">
        <f>ROUND(IF(D39&gt;0,(E38*D39),0),0)</f>
        <v>497</v>
      </c>
    </row>
    <row r="40" spans="2:10" ht="16.5" thickBot="1" x14ac:dyDescent="0.25">
      <c r="B40" s="107"/>
      <c r="C40" s="676" t="str">
        <f>CONCATENATE("Amount of  ",$E$1-1," Ad Valorem Tax")</f>
        <v>Amount of  2023 Ad Valorem Tax</v>
      </c>
      <c r="D40" s="699"/>
      <c r="E40" s="381">
        <f>E38+E39</f>
        <v>36032</v>
      </c>
    </row>
    <row r="41" spans="2:10" ht="16.5" thickTop="1" x14ac:dyDescent="0.2">
      <c r="B41" s="28"/>
      <c r="C41" s="676"/>
      <c r="D41" s="699"/>
      <c r="E41" s="28"/>
    </row>
    <row r="42" spans="2:10" x14ac:dyDescent="0.2">
      <c r="B42" s="29"/>
      <c r="C42" s="195"/>
      <c r="D42" s="195"/>
      <c r="E42" s="195"/>
    </row>
    <row r="43" spans="2:10" x14ac:dyDescent="0.2">
      <c r="B43" s="29" t="s">
        <v>59</v>
      </c>
      <c r="C43" s="442" t="s">
        <v>479</v>
      </c>
      <c r="D43" s="443" t="s">
        <v>480</v>
      </c>
      <c r="E43" s="87" t="s">
        <v>481</v>
      </c>
    </row>
    <row r="44" spans="2:10" x14ac:dyDescent="0.2">
      <c r="B44" s="332">
        <f>inputPrYr!B25</f>
        <v>0</v>
      </c>
      <c r="C44" s="138" t="str">
        <f>CONCATENATE("Actual for ",E1-2,"")</f>
        <v>Actual for 2022</v>
      </c>
      <c r="D44" s="138" t="str">
        <f>CONCATENATE("Estimate for ",E1-1,"")</f>
        <v>Estimate for 2023</v>
      </c>
      <c r="E44" s="122" t="str">
        <f>CONCATENATE("Year for ",E1,"")</f>
        <v>Year for 2024</v>
      </c>
    </row>
    <row r="45" spans="2:10" x14ac:dyDescent="0.2">
      <c r="B45" s="163" t="s">
        <v>137</v>
      </c>
      <c r="C45" s="168"/>
      <c r="D45" s="166">
        <f>C73</f>
        <v>0</v>
      </c>
      <c r="E45" s="141">
        <f>D73</f>
        <v>0</v>
      </c>
    </row>
    <row r="46" spans="2:10" x14ac:dyDescent="0.2">
      <c r="B46" s="167" t="s">
        <v>139</v>
      </c>
      <c r="C46" s="102"/>
      <c r="D46" s="102"/>
      <c r="E46" s="52"/>
    </row>
    <row r="47" spans="2:10" x14ac:dyDescent="0.2">
      <c r="B47" s="93" t="s">
        <v>60</v>
      </c>
      <c r="C47" s="168"/>
      <c r="D47" s="166">
        <f>IF(inputPrYr!H21&gt;0,inputPrYr!G29,inputPrYr!E25)</f>
        <v>0</v>
      </c>
      <c r="E47" s="193" t="s">
        <v>49</v>
      </c>
    </row>
    <row r="48" spans="2:10" x14ac:dyDescent="0.2">
      <c r="B48" s="93" t="s">
        <v>61</v>
      </c>
      <c r="C48" s="168"/>
      <c r="D48" s="168"/>
      <c r="E48" s="39"/>
    </row>
    <row r="49" spans="2:11" x14ac:dyDescent="0.2">
      <c r="B49" s="93" t="s">
        <v>62</v>
      </c>
      <c r="C49" s="168"/>
      <c r="D49" s="168"/>
      <c r="E49" s="141" t="str">
        <f>Mvalloc!D13</f>
        <v xml:space="preserve">  </v>
      </c>
    </row>
    <row r="50" spans="2:11" x14ac:dyDescent="0.2">
      <c r="B50" s="93" t="s">
        <v>63</v>
      </c>
      <c r="C50" s="168"/>
      <c r="D50" s="168"/>
      <c r="E50" s="141" t="str">
        <f>Mvalloc!E13</f>
        <v xml:space="preserve"> </v>
      </c>
    </row>
    <row r="51" spans="2:11" x14ac:dyDescent="0.2">
      <c r="B51" s="102" t="s">
        <v>130</v>
      </c>
      <c r="C51" s="168"/>
      <c r="D51" s="168"/>
      <c r="E51" s="141" t="str">
        <f>Mvalloc!F13</f>
        <v xml:space="preserve"> </v>
      </c>
      <c r="G51" s="718" t="str">
        <f>CONCATENATE("Desired Carryover Into ",E1+1,"")</f>
        <v>Desired Carryover Into 2025</v>
      </c>
      <c r="H51" s="700"/>
      <c r="I51" s="700"/>
      <c r="J51" s="701"/>
    </row>
    <row r="52" spans="2:11" x14ac:dyDescent="0.2">
      <c r="B52" s="508" t="s">
        <v>528</v>
      </c>
      <c r="C52" s="168"/>
      <c r="D52" s="168"/>
      <c r="E52" s="141" t="str">
        <f>Mvalloc!G13</f>
        <v xml:space="preserve"> </v>
      </c>
      <c r="G52" s="382"/>
      <c r="H52" s="383"/>
      <c r="I52" s="384"/>
      <c r="J52" s="385"/>
    </row>
    <row r="53" spans="2:11" x14ac:dyDescent="0.2">
      <c r="B53" s="508" t="s">
        <v>529</v>
      </c>
      <c r="C53" s="168"/>
      <c r="D53" s="168"/>
      <c r="E53" s="141" t="str">
        <f>Mvalloc!H13</f>
        <v xml:space="preserve"> </v>
      </c>
      <c r="G53" s="386" t="s">
        <v>349</v>
      </c>
      <c r="H53" s="384"/>
      <c r="I53" s="384"/>
      <c r="J53" s="387">
        <v>0</v>
      </c>
    </row>
    <row r="54" spans="2:11" x14ac:dyDescent="0.2">
      <c r="B54" s="39"/>
      <c r="C54" s="168"/>
      <c r="D54" s="168"/>
      <c r="E54" s="39"/>
      <c r="G54" s="382" t="s">
        <v>350</v>
      </c>
      <c r="H54" s="383"/>
      <c r="I54" s="383"/>
      <c r="J54" s="388" t="str">
        <f>IF(J53=0,"",ROUND((J53+E79-G66)/inputOth!E7*1000,3)-G71)</f>
        <v/>
      </c>
    </row>
    <row r="55" spans="2:11" x14ac:dyDescent="0.2">
      <c r="B55" s="183"/>
      <c r="C55" s="168"/>
      <c r="D55" s="168"/>
      <c r="E55" s="39"/>
      <c r="G55" s="389" t="str">
        <f>CONCATENATE("",E1," Tot Exp/Non-Appr Must Be:")</f>
        <v>2024 Tot Exp/Non-Appr Must Be:</v>
      </c>
      <c r="H55" s="390"/>
      <c r="I55" s="391"/>
      <c r="J55" s="392">
        <f>IF(J53&gt;0,IF(E76&lt;E61,IF(J53=G66,E76,((J53-G66)*(1-D78))+E61),E76+(J53-G66)),0)</f>
        <v>0</v>
      </c>
    </row>
    <row r="56" spans="2:11" x14ac:dyDescent="0.2">
      <c r="B56" s="172" t="s">
        <v>67</v>
      </c>
      <c r="C56" s="168"/>
      <c r="D56" s="168"/>
      <c r="E56" s="39"/>
      <c r="G56" s="393" t="s">
        <v>423</v>
      </c>
      <c r="H56" s="394"/>
      <c r="I56" s="394"/>
      <c r="J56" s="395">
        <f>IF(J53&gt;0,J55-E76,0)</f>
        <v>0</v>
      </c>
    </row>
    <row r="57" spans="2:11" x14ac:dyDescent="0.25">
      <c r="B57" s="184" t="s">
        <v>8</v>
      </c>
      <c r="C57" s="168"/>
      <c r="D57" s="168"/>
      <c r="E57" s="141">
        <f>'NR Rebate'!E12*-1</f>
        <v>0</v>
      </c>
      <c r="J57" s="2"/>
    </row>
    <row r="58" spans="2:11" x14ac:dyDescent="0.2">
      <c r="B58" s="102" t="s">
        <v>9</v>
      </c>
      <c r="C58" s="168"/>
      <c r="D58" s="168"/>
      <c r="E58" s="39"/>
      <c r="G58" s="718" t="str">
        <f>CONCATENATE("Projected Carryover Into ",E1+1,"")</f>
        <v>Projected Carryover Into 2025</v>
      </c>
      <c r="H58" s="723"/>
      <c r="I58" s="723"/>
      <c r="J58" s="720"/>
    </row>
    <row r="59" spans="2:11" x14ac:dyDescent="0.2">
      <c r="B59" s="163" t="s">
        <v>352</v>
      </c>
      <c r="C59" s="173" t="str">
        <f>IF(C60*0.1&lt;C58,"Exceed 10% Rule","")</f>
        <v/>
      </c>
      <c r="D59" s="173" t="str">
        <f>IF(D60*0.1&lt;D58,"Exceed 10% Rule","")</f>
        <v/>
      </c>
      <c r="E59" s="204" t="str">
        <f>IF(E60*0.1+E79&lt;E58,"Exceed 10% Rule","")</f>
        <v/>
      </c>
      <c r="G59" s="396"/>
      <c r="H59" s="383"/>
      <c r="I59" s="383"/>
      <c r="J59" s="403"/>
    </row>
    <row r="60" spans="2:11" x14ac:dyDescent="0.2">
      <c r="B60" s="175" t="s">
        <v>68</v>
      </c>
      <c r="C60" s="591">
        <f>SUM(C47:C58)</f>
        <v>0</v>
      </c>
      <c r="D60" s="591">
        <f>SUM(D47:D58)</f>
        <v>0</v>
      </c>
      <c r="E60" s="591">
        <f>SUM(E48:E58)</f>
        <v>0</v>
      </c>
      <c r="G60" s="398">
        <f>D73</f>
        <v>0</v>
      </c>
      <c r="H60" s="376" t="str">
        <f>CONCATENATE("",E1-1," Ending Cash Balance (est.)")</f>
        <v>2023 Ending Cash Balance (est.)</v>
      </c>
      <c r="I60" s="399"/>
      <c r="J60" s="403"/>
    </row>
    <row r="61" spans="2:11" x14ac:dyDescent="0.2">
      <c r="B61" s="175" t="s">
        <v>69</v>
      </c>
      <c r="C61" s="591">
        <f>C45+C60</f>
        <v>0</v>
      </c>
      <c r="D61" s="591">
        <f>D45+D60</f>
        <v>0</v>
      </c>
      <c r="E61" s="591">
        <f>E45+E60</f>
        <v>0</v>
      </c>
      <c r="G61" s="398">
        <f>E60</f>
        <v>0</v>
      </c>
      <c r="H61" s="384" t="str">
        <f>CONCATENATE("",E1," Non-AV Receipts (est.)")</f>
        <v>2024 Non-AV Receipts (est.)</v>
      </c>
      <c r="I61" s="399"/>
      <c r="J61" s="403"/>
    </row>
    <row r="62" spans="2:11" x14ac:dyDescent="0.2">
      <c r="B62" s="93" t="s">
        <v>71</v>
      </c>
      <c r="C62" s="184"/>
      <c r="D62" s="184"/>
      <c r="E62" s="38"/>
      <c r="G62" s="400">
        <f>IF(D78&gt;0,E77,E79)</f>
        <v>0</v>
      </c>
      <c r="H62" s="384" t="str">
        <f>CONCATENATE("",E1," Ad Valorem Tax (est.)")</f>
        <v>2024 Ad Valorem Tax (est.)</v>
      </c>
      <c r="I62" s="399"/>
      <c r="J62" s="403"/>
      <c r="K62" s="377" t="str">
        <f>IF(G62=E79,"","Note: Does not include Delinquent Taxes")</f>
        <v/>
      </c>
    </row>
    <row r="63" spans="2:11" x14ac:dyDescent="0.2">
      <c r="B63" s="183"/>
      <c r="C63" s="168"/>
      <c r="D63" s="168"/>
      <c r="E63" s="39"/>
      <c r="G63" s="402">
        <f>SUM(G60:G62)</f>
        <v>0</v>
      </c>
      <c r="H63" s="384" t="str">
        <f>CONCATENATE("Total ",E1," Resources Available")</f>
        <v>Total 2024 Resources Available</v>
      </c>
      <c r="I63" s="403"/>
      <c r="J63" s="403"/>
    </row>
    <row r="64" spans="2:11" x14ac:dyDescent="0.2">
      <c r="B64" s="183"/>
      <c r="C64" s="168"/>
      <c r="D64" s="168"/>
      <c r="E64" s="39"/>
      <c r="G64" s="404"/>
      <c r="H64" s="405"/>
      <c r="I64" s="383"/>
      <c r="J64" s="403"/>
    </row>
    <row r="65" spans="2:10" x14ac:dyDescent="0.2">
      <c r="B65" s="183"/>
      <c r="C65" s="168"/>
      <c r="D65" s="168"/>
      <c r="E65" s="39"/>
      <c r="G65" s="406">
        <f>ROUND(C72*0.05+C72,0)</f>
        <v>0</v>
      </c>
      <c r="H65" s="405" t="str">
        <f>CONCATENATE("Less ",E1-2," Expenditures + 5%")</f>
        <v>Less 2022 Expenditures + 5%</v>
      </c>
      <c r="I65" s="403"/>
      <c r="J65" s="403"/>
    </row>
    <row r="66" spans="2:10" x14ac:dyDescent="0.25">
      <c r="B66" s="183"/>
      <c r="C66" s="168"/>
      <c r="D66" s="168"/>
      <c r="E66" s="39"/>
      <c r="G66" s="407">
        <f>G63-G65</f>
        <v>0</v>
      </c>
      <c r="H66" s="408" t="str">
        <f>CONCATENATE("Projected ",E1+1," carryover (est.)")</f>
        <v>Projected 2025 carryover (est.)</v>
      </c>
      <c r="I66" s="409"/>
      <c r="J66" s="410"/>
    </row>
    <row r="67" spans="2:10" x14ac:dyDescent="0.25">
      <c r="B67" s="183"/>
      <c r="C67" s="168"/>
      <c r="D67" s="168"/>
      <c r="E67" s="39"/>
      <c r="G67" s="2"/>
      <c r="H67" s="2"/>
      <c r="I67" s="2"/>
    </row>
    <row r="68" spans="2:10" x14ac:dyDescent="0.2">
      <c r="B68" s="183"/>
      <c r="C68" s="168"/>
      <c r="D68" s="168"/>
      <c r="E68" s="39"/>
      <c r="G68" s="702" t="s">
        <v>722</v>
      </c>
      <c r="H68" s="703"/>
      <c r="I68" s="703"/>
      <c r="J68" s="704"/>
    </row>
    <row r="69" spans="2:10" x14ac:dyDescent="0.2">
      <c r="B69" s="184" t="str">
        <f>CONCATENATE("Cash Forward (",E1," column)")</f>
        <v>Cash Forward (2024 column)</v>
      </c>
      <c r="C69" s="168"/>
      <c r="D69" s="168"/>
      <c r="E69" s="39"/>
      <c r="G69" s="705"/>
      <c r="H69" s="706"/>
      <c r="I69" s="706"/>
      <c r="J69" s="707"/>
    </row>
    <row r="70" spans="2:10" x14ac:dyDescent="0.2">
      <c r="B70" s="184" t="s">
        <v>9</v>
      </c>
      <c r="C70" s="168"/>
      <c r="D70" s="168"/>
      <c r="E70" s="39"/>
      <c r="G70" s="577" t="str">
        <f>'Summary Budget Hearing Notice'!H21</f>
        <v xml:space="preserve">  </v>
      </c>
      <c r="H70" s="376" t="str">
        <f>CONCATENATE("",E1," Estimated Fund Mill Rate")</f>
        <v>2024 Estimated Fund Mill Rate</v>
      </c>
      <c r="I70" s="578"/>
      <c r="J70" s="579"/>
    </row>
    <row r="71" spans="2:10" x14ac:dyDescent="0.2">
      <c r="B71" s="184" t="s">
        <v>353</v>
      </c>
      <c r="C71" s="173" t="str">
        <f>IF(C72*0.1&lt;C70,"Exceed 10% Rule","")</f>
        <v/>
      </c>
      <c r="D71" s="173" t="str">
        <f>IF(D72*0.1&lt;D70,"Exceed 10% Rule","")</f>
        <v/>
      </c>
      <c r="E71" s="204" t="str">
        <f>IF(E72*0.1&lt;E70,"Exceed 10% Rule","")</f>
        <v/>
      </c>
      <c r="G71" s="580" t="str">
        <f>'Summary Budget Hearing Notice'!E21</f>
        <v xml:space="preserve">  </v>
      </c>
      <c r="H71" s="376" t="str">
        <f>CONCATENATE("",E1-1," Fund Mill Rate")</f>
        <v>2023 Fund Mill Rate</v>
      </c>
      <c r="I71" s="578"/>
      <c r="J71" s="579"/>
    </row>
    <row r="72" spans="2:10" x14ac:dyDescent="0.2">
      <c r="B72" s="175" t="s">
        <v>75</v>
      </c>
      <c r="C72" s="591">
        <f>SUM(C63:C70)</f>
        <v>0</v>
      </c>
      <c r="D72" s="591">
        <f>SUM(D63:D70)</f>
        <v>0</v>
      </c>
      <c r="E72" s="591">
        <f>SUM(E63:E70)</f>
        <v>0</v>
      </c>
      <c r="G72" s="581">
        <f>inputOth!D20</f>
        <v>50.973999999999997</v>
      </c>
      <c r="H72" s="582" t="s">
        <v>723</v>
      </c>
      <c r="I72" s="578"/>
      <c r="J72" s="579"/>
    </row>
    <row r="73" spans="2:10" x14ac:dyDescent="0.2">
      <c r="B73" s="93" t="s">
        <v>138</v>
      </c>
      <c r="C73" s="141">
        <f>C61-C72</f>
        <v>0</v>
      </c>
      <c r="D73" s="141">
        <f>D61-D72</f>
        <v>0</v>
      </c>
      <c r="E73" s="193" t="s">
        <v>49</v>
      </c>
      <c r="G73" s="577" t="e">
        <f>'Summary Budget Hearing Notice'!H52</f>
        <v>#REF!</v>
      </c>
      <c r="H73" s="376" t="str">
        <f>CONCATENATE(E1," Estimated Total Mill Rate")</f>
        <v>2024 Estimated Total Mill Rate</v>
      </c>
      <c r="I73" s="578"/>
      <c r="J73" s="579"/>
    </row>
    <row r="74" spans="2:10" x14ac:dyDescent="0.2">
      <c r="B74" s="108" t="str">
        <f>CONCATENATE("",E1-2,"/",E1-1,"/",E1," Budget Authority Amount:")</f>
        <v>2022/2023/2024 Budget Authority Amount:</v>
      </c>
      <c r="C74" s="446">
        <f>inputOth!B71</f>
        <v>0</v>
      </c>
      <c r="D74" s="446">
        <f>inputPrYr!D25</f>
        <v>0</v>
      </c>
      <c r="E74" s="141">
        <f>E72</f>
        <v>0</v>
      </c>
      <c r="G74" s="583">
        <f>'Summary Budget Hearing Notice'!E52</f>
        <v>54.954999999999991</v>
      </c>
      <c r="H74" s="376" t="str">
        <f>CONCATENATE(E1-1," Total Mill Rate")</f>
        <v>2023 Total Mill Rate</v>
      </c>
      <c r="I74" s="578"/>
      <c r="J74" s="579"/>
    </row>
    <row r="75" spans="2:10" x14ac:dyDescent="0.2">
      <c r="B75" s="80"/>
      <c r="C75" s="695" t="s">
        <v>320</v>
      </c>
      <c r="D75" s="696"/>
      <c r="E75" s="39"/>
      <c r="G75" s="396"/>
      <c r="H75" s="383"/>
      <c r="I75" s="383"/>
      <c r="J75" s="403"/>
    </row>
    <row r="76" spans="2:10" x14ac:dyDescent="0.2">
      <c r="B76" s="329" t="str">
        <f>CONCATENATE(C99,"     ",D99)</f>
        <v xml:space="preserve">     </v>
      </c>
      <c r="C76" s="697" t="s">
        <v>321</v>
      </c>
      <c r="D76" s="698"/>
      <c r="E76" s="141">
        <f>E72+E75</f>
        <v>0</v>
      </c>
      <c r="G76" s="708" t="s">
        <v>724</v>
      </c>
      <c r="H76" s="709"/>
      <c r="I76" s="709"/>
      <c r="J76" s="712" t="e">
        <f>IF(G73&gt;G72, "Yes", "No")</f>
        <v>#REF!</v>
      </c>
    </row>
    <row r="77" spans="2:10" x14ac:dyDescent="0.2">
      <c r="B77" s="329" t="str">
        <f>CONCATENATE(C100,"     ",D100)</f>
        <v xml:space="preserve">     </v>
      </c>
      <c r="C77" s="186"/>
      <c r="D77" s="107" t="s">
        <v>76</v>
      </c>
      <c r="E77" s="141">
        <f>IF(E76-E61&gt;0,E76-E61,0)</f>
        <v>0</v>
      </c>
      <c r="G77" s="710"/>
      <c r="H77" s="711"/>
      <c r="I77" s="711"/>
      <c r="J77" s="713"/>
    </row>
    <row r="78" spans="2:10" x14ac:dyDescent="0.2">
      <c r="B78" s="107"/>
      <c r="C78" s="255" t="s">
        <v>319</v>
      </c>
      <c r="D78" s="450">
        <f>inputOth!$E$52</f>
        <v>1.4E-2</v>
      </c>
      <c r="E78" s="141">
        <f>ROUND(IF(D78&gt;0,(E77*D78),0),0)</f>
        <v>0</v>
      </c>
      <c r="G78" s="714" t="e">
        <f>IF(J76="Yes", "Follow procedure prescribed by KSA 79-2988 to exceed the Revenue Neutral Rate.", " ")</f>
        <v>#REF!</v>
      </c>
      <c r="H78" s="714"/>
      <c r="I78" s="714"/>
      <c r="J78" s="714"/>
    </row>
    <row r="79" spans="2:10" ht="16.5" thickBot="1" x14ac:dyDescent="0.25">
      <c r="B79" s="28"/>
      <c r="C79" s="676" t="str">
        <f>CONCATENATE("Amount of  ",$E$1-1," Ad Valorem Tax")</f>
        <v>Amount of  2023 Ad Valorem Tax</v>
      </c>
      <c r="D79" s="699"/>
      <c r="E79" s="381">
        <f>E77+E78</f>
        <v>0</v>
      </c>
      <c r="F79" s="185"/>
      <c r="G79" s="715"/>
      <c r="H79" s="715"/>
      <c r="I79" s="715"/>
      <c r="J79" s="715"/>
    </row>
    <row r="80" spans="2:10" ht="16.5" thickTop="1" x14ac:dyDescent="0.2">
      <c r="B80" s="28"/>
      <c r="C80" s="28"/>
      <c r="D80" s="28"/>
      <c r="E80" s="28"/>
      <c r="F80" s="451" t="str">
        <f>IF(E72/0.95-E72&lt;E75,"Exceeds 5%","")</f>
        <v/>
      </c>
      <c r="G80" s="715"/>
      <c r="H80" s="715"/>
      <c r="I80" s="715"/>
      <c r="J80" s="715"/>
    </row>
    <row r="81" spans="2:5" x14ac:dyDescent="0.2">
      <c r="B81" s="537" t="s">
        <v>539</v>
      </c>
      <c r="C81" s="69"/>
      <c r="D81" s="69"/>
      <c r="E81" s="511"/>
    </row>
    <row r="82" spans="2:5" x14ac:dyDescent="0.2">
      <c r="B82" s="396"/>
      <c r="C82" s="28"/>
      <c r="D82" s="28"/>
      <c r="E82" s="403"/>
    </row>
    <row r="83" spans="2:5" x14ac:dyDescent="0.2">
      <c r="B83" s="514"/>
      <c r="C83" s="43"/>
      <c r="D83" s="43"/>
      <c r="E83" s="49"/>
    </row>
    <row r="84" spans="2:5" x14ac:dyDescent="0.2">
      <c r="B84" s="28"/>
      <c r="C84" s="28"/>
      <c r="D84" s="28"/>
      <c r="E84" s="28"/>
    </row>
    <row r="85" spans="2:5" x14ac:dyDescent="0.2">
      <c r="B85" s="272" t="s">
        <v>78</v>
      </c>
      <c r="C85" s="464"/>
      <c r="D85" s="28"/>
      <c r="E85" s="28"/>
    </row>
    <row r="97" spans="3:4" x14ac:dyDescent="0.2">
      <c r="C97" s="328" t="str">
        <f>IF(C33&gt;C35,"See Tab A","")</f>
        <v/>
      </c>
      <c r="D97" s="328" t="str">
        <f>IF(D31&gt;D35,"See Tab C","")</f>
        <v/>
      </c>
    </row>
    <row r="98" spans="3:4" hidden="1" x14ac:dyDescent="0.2">
      <c r="C98" s="328" t="str">
        <f>IF(C34&lt;0,"See Tab B","")</f>
        <v/>
      </c>
      <c r="D98" s="328" t="str">
        <f>IF(D34&lt;0,"See Tab D","")</f>
        <v/>
      </c>
    </row>
    <row r="99" spans="3:4" hidden="1" x14ac:dyDescent="0.2">
      <c r="C99" s="328" t="str">
        <f>IF(C70&gt;C74,"See Tab A","")</f>
        <v/>
      </c>
      <c r="D99" s="328" t="str">
        <f>IF(D70&gt;D74,"See Tab C","")</f>
        <v/>
      </c>
    </row>
    <row r="100" spans="3:4" hidden="1" x14ac:dyDescent="0.2">
      <c r="C100" s="328" t="str">
        <f>IF(C73&lt;0,"See Tab B","")</f>
        <v/>
      </c>
      <c r="D100" s="328" t="str">
        <f>IF(D73&lt;0,"See Tab D","")</f>
        <v/>
      </c>
    </row>
    <row r="101" spans="3:4" hidden="1" x14ac:dyDescent="0.2"/>
  </sheetData>
  <sheetProtection sheet="1" objects="1" scenarios="1"/>
  <mergeCells count="19">
    <mergeCell ref="G76:I77"/>
    <mergeCell ref="J76:J77"/>
    <mergeCell ref="G78:J80"/>
    <mergeCell ref="G9:J9"/>
    <mergeCell ref="G16:J16"/>
    <mergeCell ref="G51:J51"/>
    <mergeCell ref="G58:J58"/>
    <mergeCell ref="G26:J27"/>
    <mergeCell ref="G34:I35"/>
    <mergeCell ref="J34:J35"/>
    <mergeCell ref="G36:J38"/>
    <mergeCell ref="G68:J69"/>
    <mergeCell ref="C79:D79"/>
    <mergeCell ref="C75:D75"/>
    <mergeCell ref="C76:D76"/>
    <mergeCell ref="C36:D36"/>
    <mergeCell ref="C37:D37"/>
    <mergeCell ref="C41:D41"/>
    <mergeCell ref="C40:D40"/>
  </mergeCells>
  <phoneticPr fontId="0" type="noConversion"/>
  <conditionalFormatting sqref="C19">
    <cfRule type="cellIs" dxfId="92" priority="19" stopIfTrue="1" operator="greaterThan">
      <formula>$C$21*0.1</formula>
    </cfRule>
  </conditionalFormatting>
  <conditionalFormatting sqref="C31">
    <cfRule type="cellIs" dxfId="91" priority="9" stopIfTrue="1" operator="greaterThan">
      <formula>$C$33*0.1</formula>
    </cfRule>
  </conditionalFormatting>
  <conditionalFormatting sqref="C58">
    <cfRule type="cellIs" dxfId="90" priority="21" stopIfTrue="1" operator="greaterThan">
      <formula>$C$60*0.1</formula>
    </cfRule>
  </conditionalFormatting>
  <conditionalFormatting sqref="C70">
    <cfRule type="cellIs" dxfId="89" priority="14" stopIfTrue="1" operator="greaterThan">
      <formula>$C$72*0.1</formula>
    </cfRule>
  </conditionalFormatting>
  <conditionalFormatting sqref="D19">
    <cfRule type="cellIs" dxfId="88" priority="18" stopIfTrue="1" operator="greaterThan">
      <formula>$D$21*0.1</formula>
    </cfRule>
  </conditionalFormatting>
  <conditionalFormatting sqref="D31">
    <cfRule type="cellIs" dxfId="87" priority="10" stopIfTrue="1" operator="greaterThan">
      <formula>$D$33*0.1</formula>
    </cfRule>
  </conditionalFormatting>
  <conditionalFormatting sqref="D58">
    <cfRule type="cellIs" dxfId="86" priority="20" stopIfTrue="1" operator="greaterThan">
      <formula>$D$60*0.1</formula>
    </cfRule>
  </conditionalFormatting>
  <conditionalFormatting sqref="D70">
    <cfRule type="cellIs" dxfId="85" priority="15" stopIfTrue="1" operator="greaterThan">
      <formula>$D$72*0.1</formula>
    </cfRule>
  </conditionalFormatting>
  <conditionalFormatting sqref="E19">
    <cfRule type="cellIs" dxfId="84" priority="23" stopIfTrue="1" operator="greaterThan">
      <formula>$E$21*0.1+E40</formula>
    </cfRule>
  </conditionalFormatting>
  <conditionalFormatting sqref="E31">
    <cfRule type="cellIs" dxfId="83" priority="7" stopIfTrue="1" operator="greaterThan">
      <formula>$E$33*0.1</formula>
    </cfRule>
  </conditionalFormatting>
  <conditionalFormatting sqref="E36">
    <cfRule type="cellIs" dxfId="82" priority="8" stopIfTrue="1" operator="greaterThan">
      <formula>$E$33/0.95-$E$33</formula>
    </cfRule>
  </conditionalFormatting>
  <conditionalFormatting sqref="E58">
    <cfRule type="cellIs" dxfId="81" priority="22" stopIfTrue="1" operator="greaterThan">
      <formula>$E$60*0.1+E79</formula>
    </cfRule>
  </conditionalFormatting>
  <conditionalFormatting sqref="E70">
    <cfRule type="cellIs" dxfId="80" priority="5" stopIfTrue="1" operator="greaterThan">
      <formula>$E$72*0.1</formula>
    </cfRule>
  </conditionalFormatting>
  <conditionalFormatting sqref="E75">
    <cfRule type="cellIs" dxfId="79" priority="6" stopIfTrue="1" operator="greaterThan">
      <formula>$E$72/0.95-$E$72</formula>
    </cfRule>
  </conditionalFormatting>
  <conditionalFormatting sqref="J34">
    <cfRule type="containsText" dxfId="78" priority="2" operator="containsText" text="Yes">
      <formula>NOT(ISERROR(SEARCH("Yes",J34)))</formula>
    </cfRule>
  </conditionalFormatting>
  <conditionalFormatting sqref="J76">
    <cfRule type="containsText" dxfId="77" priority="1" operator="containsText" text="Yes">
      <formula>NOT(ISERROR(SEARCH("Yes",J76)))</formula>
    </cfRule>
  </conditionalFormatting>
  <pageMargins left="0.5" right="0.5" top="1" bottom="0.5" header="0.5" footer="0.5"/>
  <pageSetup scale="55" orientation="portrait" blackAndWhite="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65"/>
  <sheetViews>
    <sheetView tabSelected="1" workbookViewId="0">
      <selection activeCell="F1" sqref="F1"/>
    </sheetView>
  </sheetViews>
  <sheetFormatPr defaultColWidth="8.88671875" defaultRowHeight="15.75" x14ac:dyDescent="0.2"/>
  <cols>
    <col min="1" max="1" width="2.44140625" style="26" customWidth="1"/>
    <col min="2" max="2" width="31.109375" style="26" customWidth="1"/>
    <col min="3" max="4" width="15.77734375" style="26" customWidth="1"/>
    <col min="5" max="5" width="16.21875" style="26" customWidth="1"/>
    <col min="6" max="16384" width="8.88671875" style="26"/>
  </cols>
  <sheetData>
    <row r="1" spans="2:5" x14ac:dyDescent="0.2">
      <c r="B1" s="47" t="str">
        <f>(inputPrYr!D3)</f>
        <v>Wellsville</v>
      </c>
      <c r="C1" s="28"/>
      <c r="D1" s="28"/>
      <c r="E1" s="80">
        <f>inputPrYr!C6</f>
        <v>2024</v>
      </c>
    </row>
    <row r="2" spans="2:5" x14ac:dyDescent="0.2">
      <c r="B2" s="28"/>
      <c r="C2" s="28"/>
      <c r="D2" s="28"/>
      <c r="E2" s="107"/>
    </row>
    <row r="3" spans="2:5" x14ac:dyDescent="0.2">
      <c r="B3" s="161" t="s">
        <v>124</v>
      </c>
      <c r="C3" s="195"/>
      <c r="D3" s="195"/>
      <c r="E3" s="195"/>
    </row>
    <row r="4" spans="2:5" x14ac:dyDescent="0.2">
      <c r="B4" s="29" t="s">
        <v>59</v>
      </c>
      <c r="C4" s="442" t="s">
        <v>479</v>
      </c>
      <c r="D4" s="443" t="s">
        <v>480</v>
      </c>
      <c r="E4" s="87" t="s">
        <v>481</v>
      </c>
    </row>
    <row r="5" spans="2:5" x14ac:dyDescent="0.2">
      <c r="B5" s="332" t="str">
        <f>(inputPrYr!B35)</f>
        <v>Special Highway</v>
      </c>
      <c r="C5" s="138" t="str">
        <f>CONCATENATE("Actual for ",E1-2,"")</f>
        <v>Actual for 2022</v>
      </c>
      <c r="D5" s="138" t="str">
        <f>CONCATENATE("Estimate for ",E1-1,"")</f>
        <v>Estimate for 2023</v>
      </c>
      <c r="E5" s="122" t="str">
        <f>CONCATENATE("Year for ",E1,"")</f>
        <v>Year for 2024</v>
      </c>
    </row>
    <row r="6" spans="2:5" x14ac:dyDescent="0.2">
      <c r="B6" s="163" t="s">
        <v>137</v>
      </c>
      <c r="C6" s="39"/>
      <c r="D6" s="141">
        <f>C27</f>
        <v>0</v>
      </c>
      <c r="E6" s="141">
        <f>D27</f>
        <v>0</v>
      </c>
    </row>
    <row r="7" spans="2:5" x14ac:dyDescent="0.2">
      <c r="B7" s="167" t="s">
        <v>139</v>
      </c>
      <c r="C7" s="52"/>
      <c r="D7" s="52"/>
      <c r="E7" s="52"/>
    </row>
    <row r="8" spans="2:5" x14ac:dyDescent="0.2">
      <c r="B8" s="184" t="s">
        <v>133</v>
      </c>
      <c r="C8" s="39"/>
      <c r="D8" s="198">
        <f>inputOth!E57</f>
        <v>0</v>
      </c>
      <c r="E8" s="141">
        <f>inputOth!E55</f>
        <v>0</v>
      </c>
    </row>
    <row r="9" spans="2:5" x14ac:dyDescent="0.2">
      <c r="B9" s="199" t="s">
        <v>172</v>
      </c>
      <c r="C9" s="39"/>
      <c r="D9" s="198">
        <f>inputOth!E58</f>
        <v>0</v>
      </c>
      <c r="E9" s="198">
        <f>inputOth!E56</f>
        <v>0</v>
      </c>
    </row>
    <row r="10" spans="2:5" x14ac:dyDescent="0.2">
      <c r="B10" s="183"/>
      <c r="C10" s="39"/>
      <c r="D10" s="39"/>
      <c r="E10" s="39"/>
    </row>
    <row r="11" spans="2:5" x14ac:dyDescent="0.2">
      <c r="B11" s="183"/>
      <c r="C11" s="39"/>
      <c r="D11" s="39"/>
      <c r="E11" s="39"/>
    </row>
    <row r="12" spans="2:5" x14ac:dyDescent="0.2">
      <c r="B12" s="172" t="s">
        <v>67</v>
      </c>
      <c r="C12" s="39"/>
      <c r="D12" s="39"/>
      <c r="E12" s="39"/>
    </row>
    <row r="13" spans="2:5" x14ac:dyDescent="0.2">
      <c r="B13" s="102" t="s">
        <v>9</v>
      </c>
      <c r="C13" s="39"/>
      <c r="D13" s="169"/>
      <c r="E13" s="169"/>
    </row>
    <row r="14" spans="2:5" x14ac:dyDescent="0.2">
      <c r="B14" s="163" t="s">
        <v>352</v>
      </c>
      <c r="C14" s="204" t="str">
        <f>IF(C15*0.1&lt;C13,"Exceed 10% Rule","")</f>
        <v/>
      </c>
      <c r="D14" s="174" t="str">
        <f>IF(D15*0.1&lt;D13,"Exceed 10% Rule","")</f>
        <v/>
      </c>
      <c r="E14" s="174" t="str">
        <f>IF(E15*0.1&lt;E13,"Exceed 10% Rule","")</f>
        <v/>
      </c>
    </row>
    <row r="15" spans="2:5" x14ac:dyDescent="0.2">
      <c r="B15" s="175" t="s">
        <v>68</v>
      </c>
      <c r="C15" s="178">
        <f>SUM(C8:C13)</f>
        <v>0</v>
      </c>
      <c r="D15" s="178">
        <f>SUM(D8:D13)</f>
        <v>0</v>
      </c>
      <c r="E15" s="178">
        <f>SUM(E8:E13)</f>
        <v>0</v>
      </c>
    </row>
    <row r="16" spans="2:5" x14ac:dyDescent="0.2">
      <c r="B16" s="175" t="s">
        <v>69</v>
      </c>
      <c r="C16" s="178">
        <f>C6+C15</f>
        <v>0</v>
      </c>
      <c r="D16" s="178">
        <f>D6+D15</f>
        <v>0</v>
      </c>
      <c r="E16" s="178">
        <f>E6+E15</f>
        <v>0</v>
      </c>
    </row>
    <row r="17" spans="2:10" x14ac:dyDescent="0.2">
      <c r="B17" s="93" t="s">
        <v>71</v>
      </c>
      <c r="C17" s="141"/>
      <c r="D17" s="141"/>
      <c r="E17" s="141"/>
    </row>
    <row r="18" spans="2:10" x14ac:dyDescent="0.2">
      <c r="B18" s="183"/>
      <c r="C18" s="39"/>
      <c r="D18" s="39"/>
      <c r="E18" s="39"/>
    </row>
    <row r="19" spans="2:10" x14ac:dyDescent="0.2">
      <c r="B19" s="183"/>
      <c r="C19" s="39"/>
      <c r="D19" s="39"/>
      <c r="E19" s="39"/>
    </row>
    <row r="20" spans="2:10" x14ac:dyDescent="0.2">
      <c r="B20" s="183"/>
      <c r="C20" s="39"/>
      <c r="D20" s="39"/>
      <c r="E20" s="39"/>
    </row>
    <row r="21" spans="2:10" x14ac:dyDescent="0.2">
      <c r="B21" s="183"/>
      <c r="C21" s="39"/>
      <c r="D21" s="39"/>
      <c r="E21" s="39"/>
    </row>
    <row r="22" spans="2:10" x14ac:dyDescent="0.2">
      <c r="B22" s="183"/>
      <c r="C22" s="39"/>
      <c r="D22" s="39"/>
      <c r="E22" s="39"/>
    </row>
    <row r="23" spans="2:10" x14ac:dyDescent="0.2">
      <c r="B23" s="184" t="str">
        <f>CONCATENATE("Cash Forward (",E1," column)")</f>
        <v>Cash Forward (2024 column)</v>
      </c>
      <c r="C23" s="39"/>
      <c r="D23" s="39"/>
      <c r="E23" s="39"/>
      <c r="J23" s="26">
        <v>0</v>
      </c>
    </row>
    <row r="24" spans="2:10" x14ac:dyDescent="0.2">
      <c r="B24" s="184" t="s">
        <v>9</v>
      </c>
      <c r="C24" s="39"/>
      <c r="D24" s="169"/>
      <c r="E24" s="169"/>
    </row>
    <row r="25" spans="2:10" x14ac:dyDescent="0.2">
      <c r="B25" s="184" t="s">
        <v>353</v>
      </c>
      <c r="C25" s="204" t="str">
        <f>IF(C26*0.1&lt;C24,"Exceed 10% Rule","")</f>
        <v/>
      </c>
      <c r="D25" s="174" t="str">
        <f>IF(D26*0.1&lt;D24,"Exceed 10% Rule","")</f>
        <v/>
      </c>
      <c r="E25" s="174" t="str">
        <f>IF(E26*0.1&lt;E24,"Exceed 10% Rule","")</f>
        <v/>
      </c>
    </row>
    <row r="26" spans="2:10" x14ac:dyDescent="0.2">
      <c r="B26" s="175" t="s">
        <v>75</v>
      </c>
      <c r="C26" s="178">
        <f>SUM(C18:C24)</f>
        <v>0</v>
      </c>
      <c r="D26" s="178">
        <f>SUM(D18:D24)</f>
        <v>0</v>
      </c>
      <c r="E26" s="178">
        <f>SUM(E18:E24)</f>
        <v>0</v>
      </c>
    </row>
    <row r="27" spans="2:10" x14ac:dyDescent="0.2">
      <c r="B27" s="93" t="s">
        <v>138</v>
      </c>
      <c r="C27" s="50">
        <f>C16-C26</f>
        <v>0</v>
      </c>
      <c r="D27" s="50">
        <f>D16-D26</f>
        <v>0</v>
      </c>
      <c r="E27" s="50">
        <f>E16-E26</f>
        <v>0</v>
      </c>
    </row>
    <row r="28" spans="2:10" x14ac:dyDescent="0.2">
      <c r="B28" s="108" t="str">
        <f>CONCATENATE("",E1-2,"/",E1-1,"/",E1," Budget Authority Amount:")</f>
        <v>2022/2023/2024 Budget Authority Amount:</v>
      </c>
      <c r="C28" s="446">
        <f>inputOth!B78</f>
        <v>50793</v>
      </c>
      <c r="D28" s="446">
        <f>inputPrYr!D35</f>
        <v>54403</v>
      </c>
      <c r="E28" s="458">
        <f>E26</f>
        <v>0</v>
      </c>
    </row>
    <row r="29" spans="2:10" x14ac:dyDescent="0.2">
      <c r="B29" s="80"/>
      <c r="C29" s="186" t="str">
        <f>IF(C26&gt;C28,"See Tab A","")</f>
        <v/>
      </c>
      <c r="D29" s="186" t="str">
        <f>IF(D26&gt;D28,"See Tab C","")</f>
        <v/>
      </c>
      <c r="E29" s="459" t="str">
        <f>IF(E27&lt;0,"See Tab E","")</f>
        <v/>
      </c>
    </row>
    <row r="30" spans="2:10" x14ac:dyDescent="0.2">
      <c r="B30" s="80"/>
      <c r="C30" s="186" t="str">
        <f>IF(C27&lt;0,"See Tab B","")</f>
        <v/>
      </c>
      <c r="D30" s="186" t="str">
        <f>IF(D27&lt;0,"See Tab D","")</f>
        <v/>
      </c>
      <c r="E30" s="56"/>
    </row>
    <row r="31" spans="2:10" x14ac:dyDescent="0.2">
      <c r="B31" s="28"/>
      <c r="C31" s="56"/>
      <c r="D31" s="56"/>
      <c r="E31" s="56"/>
    </row>
    <row r="32" spans="2:10" x14ac:dyDescent="0.2">
      <c r="B32" s="29" t="s">
        <v>59</v>
      </c>
      <c r="C32" s="200"/>
      <c r="D32" s="200"/>
      <c r="E32" s="200"/>
    </row>
    <row r="33" spans="2:5" x14ac:dyDescent="0.2">
      <c r="B33" s="28"/>
      <c r="C33" s="442" t="s">
        <v>479</v>
      </c>
      <c r="D33" s="443" t="s">
        <v>480</v>
      </c>
      <c r="E33" s="87" t="s">
        <v>481</v>
      </c>
    </row>
    <row r="34" spans="2:5" x14ac:dyDescent="0.2">
      <c r="B34" s="332" t="str">
        <f>(inputPrYr!B36)</f>
        <v>Building Capital Improvement</v>
      </c>
      <c r="C34" s="138" t="str">
        <f>CONCATENATE("Actual for ",$E$1-2,"")</f>
        <v>Actual for 2022</v>
      </c>
      <c r="D34" s="138" t="str">
        <f>CONCATENATE("Estimate for ",$E$1-1,"")</f>
        <v>Estimate for 2023</v>
      </c>
      <c r="E34" s="122" t="str">
        <f>CONCATENATE("Year for ",$E$1,"")</f>
        <v>Year for 2024</v>
      </c>
    </row>
    <row r="35" spans="2:5" x14ac:dyDescent="0.2">
      <c r="B35" s="163" t="s">
        <v>137</v>
      </c>
      <c r="C35" s="39"/>
      <c r="D35" s="141">
        <f>C58</f>
        <v>0</v>
      </c>
      <c r="E35" s="141">
        <f>D58</f>
        <v>0</v>
      </c>
    </row>
    <row r="36" spans="2:5" x14ac:dyDescent="0.2">
      <c r="B36" s="167" t="s">
        <v>139</v>
      </c>
      <c r="C36" s="52"/>
      <c r="D36" s="52"/>
      <c r="E36" s="52"/>
    </row>
    <row r="37" spans="2:5" x14ac:dyDescent="0.2">
      <c r="B37" s="183"/>
      <c r="C37" s="39"/>
      <c r="D37" s="39"/>
      <c r="E37" s="39"/>
    </row>
    <row r="38" spans="2:5" x14ac:dyDescent="0.2">
      <c r="B38" s="183"/>
      <c r="C38" s="39"/>
      <c r="D38" s="39"/>
      <c r="E38" s="39"/>
    </row>
    <row r="39" spans="2:5" x14ac:dyDescent="0.2">
      <c r="B39" s="183"/>
      <c r="C39" s="39"/>
      <c r="D39" s="39"/>
      <c r="E39" s="39"/>
    </row>
    <row r="40" spans="2:5" x14ac:dyDescent="0.2">
      <c r="B40" s="183"/>
      <c r="C40" s="39"/>
      <c r="D40" s="39"/>
      <c r="E40" s="39"/>
    </row>
    <row r="41" spans="2:5" x14ac:dyDescent="0.2">
      <c r="B41" s="172" t="s">
        <v>67</v>
      </c>
      <c r="C41" s="39"/>
      <c r="D41" s="39"/>
      <c r="E41" s="39"/>
    </row>
    <row r="42" spans="2:5" x14ac:dyDescent="0.2">
      <c r="B42" s="102" t="s">
        <v>9</v>
      </c>
      <c r="C42" s="39"/>
      <c r="D42" s="169"/>
      <c r="E42" s="169"/>
    </row>
    <row r="43" spans="2:5" x14ac:dyDescent="0.2">
      <c r="B43" s="163" t="s">
        <v>352</v>
      </c>
      <c r="C43" s="204" t="str">
        <f>IF(C44*0.1&lt;C42,"Exceed 10% Rule","")</f>
        <v/>
      </c>
      <c r="D43" s="174" t="str">
        <f>IF(D44*0.1&lt;D42,"Exceed 10% Rule","")</f>
        <v/>
      </c>
      <c r="E43" s="174" t="str">
        <f>IF(E44*0.1&lt;E42,"Exceed 10% Rule","")</f>
        <v/>
      </c>
    </row>
    <row r="44" spans="2:5" x14ac:dyDescent="0.2">
      <c r="B44" s="175" t="s">
        <v>68</v>
      </c>
      <c r="C44" s="178">
        <f>SUM(C37:C42)</f>
        <v>0</v>
      </c>
      <c r="D44" s="178">
        <f>SUM(D37:D42)</f>
        <v>0</v>
      </c>
      <c r="E44" s="178">
        <f>SUM(E37:E42)</f>
        <v>0</v>
      </c>
    </row>
    <row r="45" spans="2:5" x14ac:dyDescent="0.2">
      <c r="B45" s="175" t="s">
        <v>69</v>
      </c>
      <c r="C45" s="178">
        <f>C35+C44</f>
        <v>0</v>
      </c>
      <c r="D45" s="178">
        <f>D35+D44</f>
        <v>0</v>
      </c>
      <c r="E45" s="178">
        <f>E35+E44</f>
        <v>0</v>
      </c>
    </row>
    <row r="46" spans="2:5" x14ac:dyDescent="0.2">
      <c r="B46" s="93" t="s">
        <v>71</v>
      </c>
      <c r="C46" s="141"/>
      <c r="D46" s="141"/>
      <c r="E46" s="141"/>
    </row>
    <row r="47" spans="2:5" x14ac:dyDescent="0.2">
      <c r="B47" s="183"/>
      <c r="C47" s="39"/>
      <c r="D47" s="39"/>
      <c r="E47" s="39"/>
    </row>
    <row r="48" spans="2:5" x14ac:dyDescent="0.2">
      <c r="B48" s="183"/>
      <c r="C48" s="39"/>
      <c r="D48" s="39"/>
      <c r="E48" s="39"/>
    </row>
    <row r="49" spans="2:5" x14ac:dyDescent="0.2">
      <c r="B49" s="183"/>
      <c r="C49" s="39"/>
      <c r="D49" s="39"/>
      <c r="E49" s="39"/>
    </row>
    <row r="50" spans="2:5" x14ac:dyDescent="0.2">
      <c r="B50" s="183"/>
      <c r="C50" s="39"/>
      <c r="D50" s="39"/>
      <c r="E50" s="39"/>
    </row>
    <row r="51" spans="2:5" x14ac:dyDescent="0.2">
      <c r="B51" s="183"/>
      <c r="C51" s="39"/>
      <c r="D51" s="39"/>
      <c r="E51" s="39"/>
    </row>
    <row r="52" spans="2:5" x14ac:dyDescent="0.2">
      <c r="B52" s="183"/>
      <c r="C52" s="39"/>
      <c r="D52" s="39"/>
      <c r="E52" s="39"/>
    </row>
    <row r="53" spans="2:5" x14ac:dyDescent="0.2">
      <c r="B53" s="183"/>
      <c r="C53" s="39"/>
      <c r="D53" s="39"/>
      <c r="E53" s="39"/>
    </row>
    <row r="54" spans="2:5" x14ac:dyDescent="0.2">
      <c r="B54" s="184" t="str">
        <f>CONCATENATE("Cash Forward (",E1," column)")</f>
        <v>Cash Forward (2024 column)</v>
      </c>
      <c r="C54" s="39"/>
      <c r="D54" s="39"/>
      <c r="E54" s="39"/>
    </row>
    <row r="55" spans="2:5" x14ac:dyDescent="0.2">
      <c r="B55" s="184" t="s">
        <v>9</v>
      </c>
      <c r="C55" s="39"/>
      <c r="D55" s="169"/>
      <c r="E55" s="169"/>
    </row>
    <row r="56" spans="2:5" x14ac:dyDescent="0.2">
      <c r="B56" s="184" t="s">
        <v>353</v>
      </c>
      <c r="C56" s="204" t="str">
        <f>IF(C57*0.1&lt;C55,"Exceed 10% Rule","")</f>
        <v/>
      </c>
      <c r="D56" s="174" t="str">
        <f>IF(D57*0.1&lt;D55,"Exceed 10% Rule","")</f>
        <v/>
      </c>
      <c r="E56" s="174" t="str">
        <f>IF(E57*0.1&lt;E55,"Exceed 10% Rule","")</f>
        <v/>
      </c>
    </row>
    <row r="57" spans="2:5" x14ac:dyDescent="0.2">
      <c r="B57" s="175" t="s">
        <v>75</v>
      </c>
      <c r="C57" s="178">
        <f>SUM(C47:C55)</f>
        <v>0</v>
      </c>
      <c r="D57" s="178">
        <f>SUM(D47:D55)</f>
        <v>0</v>
      </c>
      <c r="E57" s="178">
        <f>SUM(E47:E55)</f>
        <v>0</v>
      </c>
    </row>
    <row r="58" spans="2:5" x14ac:dyDescent="0.2">
      <c r="B58" s="93" t="s">
        <v>138</v>
      </c>
      <c r="C58" s="50">
        <f>C45-C57</f>
        <v>0</v>
      </c>
      <c r="D58" s="50">
        <f>D45-D57</f>
        <v>0</v>
      </c>
      <c r="E58" s="50">
        <f>E45-E57</f>
        <v>0</v>
      </c>
    </row>
    <row r="59" spans="2:5" x14ac:dyDescent="0.2">
      <c r="B59" s="108" t="str">
        <f>CONCATENATE("",E1-2,"/",E1-1,"/",E1," Budget Authority Amount:")</f>
        <v>2022/2023/2024 Budget Authority Amount:</v>
      </c>
      <c r="C59" s="446">
        <f>inputOth!B79</f>
        <v>66364</v>
      </c>
      <c r="D59" s="446">
        <f>inputPrYr!D36</f>
        <v>53947</v>
      </c>
      <c r="E59" s="458">
        <f>E57</f>
        <v>0</v>
      </c>
    </row>
    <row r="60" spans="2:5" x14ac:dyDescent="0.2">
      <c r="B60" s="80"/>
      <c r="C60" s="186" t="str">
        <f>IF(C57&gt;C59,"See Tab A","")</f>
        <v/>
      </c>
      <c r="D60" s="186" t="str">
        <f>IF(D57&gt;D59,"See Tab C","")</f>
        <v/>
      </c>
      <c r="E60" s="459" t="str">
        <f>IF(E58&lt;0,"See Tab E","")</f>
        <v/>
      </c>
    </row>
    <row r="61" spans="2:5" x14ac:dyDescent="0.2">
      <c r="B61" s="539" t="s">
        <v>539</v>
      </c>
      <c r="C61" s="528" t="str">
        <f>IF(C58&lt;0,"See Tab B","")</f>
        <v/>
      </c>
      <c r="D61" s="528" t="str">
        <f>IF(D58&lt;0,"See Tab D","")</f>
        <v/>
      </c>
      <c r="E61" s="511"/>
    </row>
    <row r="62" spans="2:5" x14ac:dyDescent="0.2">
      <c r="B62" s="529"/>
      <c r="C62" s="186"/>
      <c r="D62" s="186"/>
      <c r="E62" s="403"/>
    </row>
    <row r="63" spans="2:5" x14ac:dyDescent="0.2">
      <c r="B63" s="530"/>
      <c r="C63" s="531"/>
      <c r="D63" s="531"/>
      <c r="E63" s="49"/>
    </row>
    <row r="64" spans="2:5" x14ac:dyDescent="0.2">
      <c r="B64" s="28"/>
      <c r="C64" s="28"/>
      <c r="D64" s="28"/>
      <c r="E64" s="28"/>
    </row>
    <row r="65" spans="2:5" x14ac:dyDescent="0.2">
      <c r="B65" s="272" t="s">
        <v>78</v>
      </c>
      <c r="C65" s="464"/>
      <c r="D65" s="28"/>
      <c r="E65" s="28"/>
    </row>
  </sheetData>
  <sheetProtection sheet="1" objects="1" scenarios="1"/>
  <phoneticPr fontId="0" type="noConversion"/>
  <conditionalFormatting sqref="C13">
    <cfRule type="cellIs" dxfId="76" priority="5" stopIfTrue="1" operator="greaterThan">
      <formula>$C$15*0.1</formula>
    </cfRule>
  </conditionalFormatting>
  <conditionalFormatting sqref="C24">
    <cfRule type="cellIs" dxfId="75" priority="8" stopIfTrue="1" operator="greaterThan">
      <formula>$C$26*0.1</formula>
    </cfRule>
  </conditionalFormatting>
  <conditionalFormatting sqref="C26">
    <cfRule type="cellIs" dxfId="74" priority="21" stopIfTrue="1" operator="greaterThan">
      <formula>$C$28</formula>
    </cfRule>
  </conditionalFormatting>
  <conditionalFormatting sqref="C27 C58">
    <cfRule type="cellIs" dxfId="73" priority="19" stopIfTrue="1" operator="lessThan">
      <formula>0</formula>
    </cfRule>
  </conditionalFormatting>
  <conditionalFormatting sqref="C42">
    <cfRule type="cellIs" dxfId="72" priority="11" stopIfTrue="1" operator="greaterThan">
      <formula>$C$44*0.1</formula>
    </cfRule>
  </conditionalFormatting>
  <conditionalFormatting sqref="C55">
    <cfRule type="cellIs" dxfId="71" priority="14" stopIfTrue="1" operator="greaterThan">
      <formula>$C$57*0.1</formula>
    </cfRule>
  </conditionalFormatting>
  <conditionalFormatting sqref="C57">
    <cfRule type="cellIs" dxfId="70" priority="18" stopIfTrue="1" operator="greaterThan">
      <formula>$C$59</formula>
    </cfRule>
  </conditionalFormatting>
  <conditionalFormatting sqref="D13">
    <cfRule type="cellIs" dxfId="69" priority="6" stopIfTrue="1" operator="greaterThan">
      <formula>$D$15*0.1</formula>
    </cfRule>
  </conditionalFormatting>
  <conditionalFormatting sqref="D24">
    <cfRule type="cellIs" dxfId="68" priority="9" stopIfTrue="1" operator="greaterThan">
      <formula>$D$26*0.1</formula>
    </cfRule>
  </conditionalFormatting>
  <conditionalFormatting sqref="D26">
    <cfRule type="cellIs" dxfId="67" priority="20" stopIfTrue="1" operator="greaterThan">
      <formula>$D$28</formula>
    </cfRule>
  </conditionalFormatting>
  <conditionalFormatting sqref="D27">
    <cfRule type="cellIs" dxfId="66" priority="4" stopIfTrue="1" operator="lessThan">
      <formula>0</formula>
    </cfRule>
  </conditionalFormatting>
  <conditionalFormatting sqref="D42">
    <cfRule type="cellIs" dxfId="65" priority="12" stopIfTrue="1" operator="greaterThan">
      <formula>$D$44*0.1</formula>
    </cfRule>
  </conditionalFormatting>
  <conditionalFormatting sqref="D55">
    <cfRule type="cellIs" dxfId="64" priority="15" stopIfTrue="1" operator="greaterThan">
      <formula>$D$57*0.1</formula>
    </cfRule>
  </conditionalFormatting>
  <conditionalFormatting sqref="D57">
    <cfRule type="cellIs" dxfId="63" priority="17" stopIfTrue="1" operator="greaterThan">
      <formula>$D$59</formula>
    </cfRule>
  </conditionalFormatting>
  <conditionalFormatting sqref="D58">
    <cfRule type="cellIs" dxfId="62" priority="3" stopIfTrue="1" operator="lessThan">
      <formula>0</formula>
    </cfRule>
  </conditionalFormatting>
  <conditionalFormatting sqref="E13">
    <cfRule type="cellIs" dxfId="61" priority="7" stopIfTrue="1" operator="greaterThan">
      <formula>$E$15*0.1</formula>
    </cfRule>
  </conditionalFormatting>
  <conditionalFormatting sqref="E24">
    <cfRule type="cellIs" dxfId="60" priority="10" stopIfTrue="1" operator="greaterThan">
      <formula>$E$26*0.1</formula>
    </cfRule>
  </conditionalFormatting>
  <conditionalFormatting sqref="E27:E28">
    <cfRule type="cellIs" dxfId="59" priority="2" stopIfTrue="1" operator="lessThan">
      <formula>0</formula>
    </cfRule>
  </conditionalFormatting>
  <conditionalFormatting sqref="E42">
    <cfRule type="cellIs" dxfId="58" priority="13" stopIfTrue="1" operator="greaterThan">
      <formula>$E$44*0.1</formula>
    </cfRule>
  </conditionalFormatting>
  <conditionalFormatting sqref="E55">
    <cfRule type="cellIs" dxfId="57" priority="16" stopIfTrue="1" operator="greaterThan">
      <formula>$E$57*0.1</formula>
    </cfRule>
  </conditionalFormatting>
  <conditionalFormatting sqref="E58:E59">
    <cfRule type="cellIs" dxfId="56"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67"/>
  <sheetViews>
    <sheetView topLeftCell="A13" workbookViewId="0">
      <selection activeCell="F1" sqref="F1"/>
    </sheetView>
  </sheetViews>
  <sheetFormatPr defaultColWidth="8.88671875" defaultRowHeight="15.75" x14ac:dyDescent="0.2"/>
  <cols>
    <col min="1" max="1" width="2.44140625" style="26" customWidth="1"/>
    <col min="2" max="2" width="31.109375" style="26" customWidth="1"/>
    <col min="3" max="4" width="15.77734375" style="26" customWidth="1"/>
    <col min="5" max="5" width="16.33203125" style="26" customWidth="1"/>
    <col min="6" max="16384" width="8.88671875" style="26"/>
  </cols>
  <sheetData>
    <row r="1" spans="2:5" x14ac:dyDescent="0.2">
      <c r="B1" s="47" t="str">
        <f>(inputPrYr!D3)</f>
        <v>Wellsville</v>
      </c>
      <c r="C1" s="28"/>
      <c r="D1" s="28"/>
      <c r="E1" s="80">
        <f>inputPrYr!C6</f>
        <v>2024</v>
      </c>
    </row>
    <row r="2" spans="2:5" x14ac:dyDescent="0.2">
      <c r="B2" s="28"/>
      <c r="C2" s="28"/>
      <c r="D2" s="28"/>
      <c r="E2" s="107"/>
    </row>
    <row r="3" spans="2:5" x14ac:dyDescent="0.2">
      <c r="B3" s="161" t="s">
        <v>124</v>
      </c>
      <c r="C3" s="195"/>
      <c r="D3" s="195"/>
      <c r="E3" s="195"/>
    </row>
    <row r="4" spans="2:5" x14ac:dyDescent="0.2">
      <c r="B4" s="29" t="s">
        <v>59</v>
      </c>
      <c r="C4" s="442" t="s">
        <v>479</v>
      </c>
      <c r="D4" s="443" t="s">
        <v>480</v>
      </c>
      <c r="E4" s="87" t="s">
        <v>481</v>
      </c>
    </row>
    <row r="5" spans="2:5" x14ac:dyDescent="0.2">
      <c r="B5" s="332" t="str">
        <f>(inputPrYr!B37)</f>
        <v>Cemetary Perpetual Care</v>
      </c>
      <c r="C5" s="138" t="str">
        <f>CONCATENATE("Actual for ",E1-2,"")</f>
        <v>Actual for 2022</v>
      </c>
      <c r="D5" s="138" t="str">
        <f>CONCATENATE("Estimate for ",E1-1,"")</f>
        <v>Estimate for 2023</v>
      </c>
      <c r="E5" s="122" t="str">
        <f>CONCATENATE("Year for ",E1,"")</f>
        <v>Year for 2024</v>
      </c>
    </row>
    <row r="6" spans="2:5" x14ac:dyDescent="0.2">
      <c r="B6" s="163" t="s">
        <v>137</v>
      </c>
      <c r="C6" s="39"/>
      <c r="D6" s="141">
        <f>C29</f>
        <v>0</v>
      </c>
      <c r="E6" s="141">
        <f>D29</f>
        <v>0</v>
      </c>
    </row>
    <row r="7" spans="2:5" x14ac:dyDescent="0.2">
      <c r="B7" s="167" t="s">
        <v>139</v>
      </c>
      <c r="C7" s="52"/>
      <c r="D7" s="52"/>
      <c r="E7" s="52"/>
    </row>
    <row r="8" spans="2:5" x14ac:dyDescent="0.2">
      <c r="B8" s="183"/>
      <c r="C8" s="39"/>
      <c r="D8" s="39"/>
      <c r="E8" s="39"/>
    </row>
    <row r="9" spans="2:5" x14ac:dyDescent="0.2">
      <c r="B9" s="183"/>
      <c r="C9" s="39"/>
      <c r="D9" s="39"/>
      <c r="E9" s="39"/>
    </row>
    <row r="10" spans="2:5" x14ac:dyDescent="0.2">
      <c r="B10" s="183"/>
      <c r="C10" s="39"/>
      <c r="D10" s="39"/>
      <c r="E10" s="39"/>
    </row>
    <row r="11" spans="2:5" x14ac:dyDescent="0.2">
      <c r="B11" s="183"/>
      <c r="C11" s="39"/>
      <c r="D11" s="39"/>
      <c r="E11" s="39"/>
    </row>
    <row r="12" spans="2:5" x14ac:dyDescent="0.2">
      <c r="B12" s="172" t="s">
        <v>67</v>
      </c>
      <c r="C12" s="39"/>
      <c r="D12" s="39"/>
      <c r="E12" s="39"/>
    </row>
    <row r="13" spans="2:5" x14ac:dyDescent="0.2">
      <c r="B13" s="102" t="s">
        <v>9</v>
      </c>
      <c r="C13" s="39"/>
      <c r="D13" s="169"/>
      <c r="E13" s="169"/>
    </row>
    <row r="14" spans="2:5" x14ac:dyDescent="0.2">
      <c r="B14" s="163" t="s">
        <v>352</v>
      </c>
      <c r="C14" s="204" t="str">
        <f>IF(C15*0.1&lt;C13,"Exceed 10% Rule","")</f>
        <v/>
      </c>
      <c r="D14" s="174" t="str">
        <f>IF(D15*0.1&lt;D13,"Exceed 10% Rule","")</f>
        <v/>
      </c>
      <c r="E14" s="174" t="str">
        <f>IF(E15*0.1&lt;E13,"Exceed 10% Rule","")</f>
        <v/>
      </c>
    </row>
    <row r="15" spans="2:5" x14ac:dyDescent="0.2">
      <c r="B15" s="175" t="s">
        <v>68</v>
      </c>
      <c r="C15" s="178">
        <f>SUM(C8:C13)</f>
        <v>0</v>
      </c>
      <c r="D15" s="178">
        <f>SUM(D8:D13)</f>
        <v>0</v>
      </c>
      <c r="E15" s="178">
        <f>SUM(E8:E13)</f>
        <v>0</v>
      </c>
    </row>
    <row r="16" spans="2:5" x14ac:dyDescent="0.2">
      <c r="B16" s="175" t="s">
        <v>69</v>
      </c>
      <c r="C16" s="178">
        <f>C6+C15</f>
        <v>0</v>
      </c>
      <c r="D16" s="178">
        <f>D6+D15</f>
        <v>0</v>
      </c>
      <c r="E16" s="178">
        <f>E6+E15</f>
        <v>0</v>
      </c>
    </row>
    <row r="17" spans="2:5" x14ac:dyDescent="0.2">
      <c r="B17" s="93" t="s">
        <v>71</v>
      </c>
      <c r="C17" s="141"/>
      <c r="D17" s="141"/>
      <c r="E17" s="141"/>
    </row>
    <row r="18" spans="2:5" x14ac:dyDescent="0.2">
      <c r="B18" s="183"/>
      <c r="C18" s="39"/>
      <c r="D18" s="39"/>
      <c r="E18" s="39"/>
    </row>
    <row r="19" spans="2:5" x14ac:dyDescent="0.2">
      <c r="B19" s="183"/>
      <c r="C19" s="39"/>
      <c r="D19" s="39"/>
      <c r="E19" s="39"/>
    </row>
    <row r="20" spans="2:5" x14ac:dyDescent="0.2">
      <c r="B20" s="183"/>
      <c r="C20" s="39"/>
      <c r="D20" s="39"/>
      <c r="E20" s="39"/>
    </row>
    <row r="21" spans="2:5" x14ac:dyDescent="0.2">
      <c r="B21" s="183"/>
      <c r="C21" s="39"/>
      <c r="D21" s="39"/>
      <c r="E21" s="39"/>
    </row>
    <row r="22" spans="2:5" x14ac:dyDescent="0.2">
      <c r="B22" s="183"/>
      <c r="C22" s="39"/>
      <c r="D22" s="39"/>
      <c r="E22" s="39"/>
    </row>
    <row r="23" spans="2:5" x14ac:dyDescent="0.2">
      <c r="B23" s="183"/>
      <c r="C23" s="39"/>
      <c r="D23" s="39"/>
      <c r="E23" s="39"/>
    </row>
    <row r="24" spans="2:5" x14ac:dyDescent="0.2">
      <c r="B24" s="183"/>
      <c r="C24" s="39"/>
      <c r="D24" s="39"/>
      <c r="E24" s="39"/>
    </row>
    <row r="25" spans="2:5" x14ac:dyDescent="0.2">
      <c r="B25" s="184" t="str">
        <f>CONCATENATE("Cash Forward (",E1," column)")</f>
        <v>Cash Forward (2024 column)</v>
      </c>
      <c r="C25" s="39"/>
      <c r="D25" s="39"/>
      <c r="E25" s="39"/>
    </row>
    <row r="26" spans="2:5" x14ac:dyDescent="0.2">
      <c r="B26" s="184" t="s">
        <v>9</v>
      </c>
      <c r="C26" s="39"/>
      <c r="D26" s="169"/>
      <c r="E26" s="169"/>
    </row>
    <row r="27" spans="2:5" x14ac:dyDescent="0.2">
      <c r="B27" s="184" t="s">
        <v>353</v>
      </c>
      <c r="C27" s="204" t="str">
        <f>IF(C28*0.1&lt;C26,"Exceed 10% Rule","")</f>
        <v/>
      </c>
      <c r="D27" s="174" t="str">
        <f>IF(D28*0.1&lt;D26,"Exceed 10% Rule","")</f>
        <v/>
      </c>
      <c r="E27" s="174" t="str">
        <f>IF(E28*0.1&lt;E26,"Exceed 10% Rule","")</f>
        <v/>
      </c>
    </row>
    <row r="28" spans="2:5" x14ac:dyDescent="0.2">
      <c r="B28" s="175" t="s">
        <v>75</v>
      </c>
      <c r="C28" s="178">
        <f>SUM(C18:C26)</f>
        <v>0</v>
      </c>
      <c r="D28" s="178">
        <f>SUM(D18:D26)</f>
        <v>0</v>
      </c>
      <c r="E28" s="178">
        <f>SUM(E18:E26)</f>
        <v>0</v>
      </c>
    </row>
    <row r="29" spans="2:5" x14ac:dyDescent="0.2">
      <c r="B29" s="93" t="s">
        <v>138</v>
      </c>
      <c r="C29" s="50">
        <f>C16-C28</f>
        <v>0</v>
      </c>
      <c r="D29" s="50">
        <f>D16-D28</f>
        <v>0</v>
      </c>
      <c r="E29" s="50">
        <f>E16-E28</f>
        <v>0</v>
      </c>
    </row>
    <row r="30" spans="2:5" x14ac:dyDescent="0.2">
      <c r="B30" s="108" t="str">
        <f>CONCATENATE("",E1-2,"/",E1-1,"/",E1," Budget Authority Amount:")</f>
        <v>2022/2023/2024 Budget Authority Amount:</v>
      </c>
      <c r="C30" s="446">
        <f>inputOth!B80</f>
        <v>5000</v>
      </c>
      <c r="D30" s="446">
        <f>inputPrYr!D37</f>
        <v>5000</v>
      </c>
      <c r="E30" s="458">
        <f>E28</f>
        <v>0</v>
      </c>
    </row>
    <row r="31" spans="2:5" x14ac:dyDescent="0.2">
      <c r="B31" s="80"/>
      <c r="C31" s="186" t="str">
        <f>IF(C28&gt;C30,"See Tab A","")</f>
        <v/>
      </c>
      <c r="D31" s="186" t="str">
        <f>IF(D28&gt;D30,"See Tab C","")</f>
        <v/>
      </c>
      <c r="E31" s="459" t="str">
        <f>IF(E29&lt;0,"See Tab E","")</f>
        <v/>
      </c>
    </row>
    <row r="32" spans="2:5" x14ac:dyDescent="0.2">
      <c r="B32" s="80"/>
      <c r="C32" s="186" t="str">
        <f>IF(C29&lt;0,"See Tab B","")</f>
        <v/>
      </c>
      <c r="D32" s="186" t="str">
        <f>IF(D29&lt;0,"See Tab D","")</f>
        <v/>
      </c>
      <c r="E32" s="56"/>
    </row>
    <row r="33" spans="2:5" x14ac:dyDescent="0.2">
      <c r="B33" s="28"/>
      <c r="C33" s="56"/>
      <c r="D33" s="56"/>
      <c r="E33" s="56"/>
    </row>
    <row r="34" spans="2:5" x14ac:dyDescent="0.2">
      <c r="B34" s="29" t="s">
        <v>59</v>
      </c>
      <c r="C34" s="200"/>
      <c r="D34" s="200"/>
      <c r="E34" s="200"/>
    </row>
    <row r="35" spans="2:5" x14ac:dyDescent="0.2">
      <c r="B35" s="28"/>
      <c r="C35" s="442" t="s">
        <v>479</v>
      </c>
      <c r="D35" s="443" t="s">
        <v>480</v>
      </c>
      <c r="E35" s="87" t="s">
        <v>481</v>
      </c>
    </row>
    <row r="36" spans="2:5" x14ac:dyDescent="0.2">
      <c r="B36" s="332">
        <f>(inputPrYr!B38)</f>
        <v>0</v>
      </c>
      <c r="C36" s="138" t="str">
        <f>CONCATENATE("Actual for ",$E$1-2,"")</f>
        <v>Actual for 2022</v>
      </c>
      <c r="D36" s="138" t="str">
        <f>CONCATENATE("Estimate for ",$E$1-1,"")</f>
        <v>Estimate for 2023</v>
      </c>
      <c r="E36" s="122" t="str">
        <f>CONCATENATE("Year for ",$E$1,"")</f>
        <v>Year for 2024</v>
      </c>
    </row>
    <row r="37" spans="2:5" x14ac:dyDescent="0.2">
      <c r="B37" s="163" t="s">
        <v>137</v>
      </c>
      <c r="C37" s="39"/>
      <c r="D37" s="141">
        <f>C58</f>
        <v>0</v>
      </c>
      <c r="E37" s="141">
        <f>D58</f>
        <v>0</v>
      </c>
    </row>
    <row r="38" spans="2:5" x14ac:dyDescent="0.2">
      <c r="B38" s="167" t="s">
        <v>139</v>
      </c>
      <c r="C38" s="52"/>
      <c r="D38" s="52"/>
      <c r="E38" s="52"/>
    </row>
    <row r="39" spans="2:5" x14ac:dyDescent="0.2">
      <c r="B39" s="183"/>
      <c r="C39" s="39"/>
      <c r="D39" s="39"/>
      <c r="E39" s="39"/>
    </row>
    <row r="40" spans="2:5" x14ac:dyDescent="0.2">
      <c r="B40" s="183"/>
      <c r="C40" s="39"/>
      <c r="D40" s="39"/>
      <c r="E40" s="39"/>
    </row>
    <row r="41" spans="2:5" x14ac:dyDescent="0.2">
      <c r="B41" s="183"/>
      <c r="C41" s="39"/>
      <c r="D41" s="39"/>
      <c r="E41" s="39"/>
    </row>
    <row r="42" spans="2:5" x14ac:dyDescent="0.2">
      <c r="B42" s="183"/>
      <c r="C42" s="39"/>
      <c r="D42" s="39"/>
      <c r="E42" s="39"/>
    </row>
    <row r="43" spans="2:5" x14ac:dyDescent="0.2">
      <c r="B43" s="172" t="s">
        <v>67</v>
      </c>
      <c r="C43" s="39"/>
      <c r="D43" s="39"/>
      <c r="E43" s="39"/>
    </row>
    <row r="44" spans="2:5" x14ac:dyDescent="0.2">
      <c r="B44" s="102" t="s">
        <v>9</v>
      </c>
      <c r="C44" s="39"/>
      <c r="D44" s="169"/>
      <c r="E44" s="169"/>
    </row>
    <row r="45" spans="2:5" x14ac:dyDescent="0.2">
      <c r="B45" s="163" t="s">
        <v>352</v>
      </c>
      <c r="C45" s="204" t="str">
        <f>IF(C46*0.1&lt;C44,"Exceed 10% Rule","")</f>
        <v/>
      </c>
      <c r="D45" s="174" t="str">
        <f>IF(D46*0.1&lt;D44,"Exceed 10% Rule","")</f>
        <v/>
      </c>
      <c r="E45" s="174" t="str">
        <f>IF(E46*0.1&lt;E44,"Exceed 10% Rule","")</f>
        <v/>
      </c>
    </row>
    <row r="46" spans="2:5" x14ac:dyDescent="0.2">
      <c r="B46" s="175" t="s">
        <v>68</v>
      </c>
      <c r="C46" s="178">
        <f>SUM(C39:C44)</f>
        <v>0</v>
      </c>
      <c r="D46" s="178">
        <f>SUM(D39:D44)</f>
        <v>0</v>
      </c>
      <c r="E46" s="178">
        <f>SUM(E39:E44)</f>
        <v>0</v>
      </c>
    </row>
    <row r="47" spans="2:5" x14ac:dyDescent="0.2">
      <c r="B47" s="175" t="s">
        <v>69</v>
      </c>
      <c r="C47" s="178">
        <f>C37+C46</f>
        <v>0</v>
      </c>
      <c r="D47" s="178">
        <f>D37+D46</f>
        <v>0</v>
      </c>
      <c r="E47" s="178">
        <f>E37+E46</f>
        <v>0</v>
      </c>
    </row>
    <row r="48" spans="2:5" x14ac:dyDescent="0.2">
      <c r="B48" s="93" t="s">
        <v>71</v>
      </c>
      <c r="C48" s="141"/>
      <c r="D48" s="141"/>
      <c r="E48" s="141"/>
    </row>
    <row r="49" spans="2:5" x14ac:dyDescent="0.2">
      <c r="B49" s="183"/>
      <c r="C49" s="39"/>
      <c r="D49" s="39"/>
      <c r="E49" s="39"/>
    </row>
    <row r="50" spans="2:5" x14ac:dyDescent="0.2">
      <c r="B50" s="183"/>
      <c r="C50" s="39"/>
      <c r="D50" s="39"/>
      <c r="E50" s="39"/>
    </row>
    <row r="51" spans="2:5" x14ac:dyDescent="0.2">
      <c r="B51" s="183"/>
      <c r="C51" s="39"/>
      <c r="D51" s="39"/>
      <c r="E51" s="39"/>
    </row>
    <row r="52" spans="2:5" x14ac:dyDescent="0.2">
      <c r="B52" s="183"/>
      <c r="C52" s="39"/>
      <c r="D52" s="39"/>
      <c r="E52" s="39"/>
    </row>
    <row r="53" spans="2:5" x14ac:dyDescent="0.2">
      <c r="B53" s="183"/>
      <c r="C53" s="39"/>
      <c r="D53" s="39"/>
      <c r="E53" s="39"/>
    </row>
    <row r="54" spans="2:5" x14ac:dyDescent="0.2">
      <c r="B54" s="184" t="str">
        <f>CONCATENATE("Cash Forward (",E1," column)")</f>
        <v>Cash Forward (2024 column)</v>
      </c>
      <c r="C54" s="39"/>
      <c r="D54" s="39"/>
      <c r="E54" s="39"/>
    </row>
    <row r="55" spans="2:5" x14ac:dyDescent="0.2">
      <c r="B55" s="184" t="s">
        <v>9</v>
      </c>
      <c r="C55" s="39"/>
      <c r="D55" s="169"/>
      <c r="E55" s="169"/>
    </row>
    <row r="56" spans="2:5" x14ac:dyDescent="0.2">
      <c r="B56" s="184" t="s">
        <v>353</v>
      </c>
      <c r="C56" s="204" t="str">
        <f>IF(C57*0.1&lt;C55,"Exceed 10% Rule","")</f>
        <v/>
      </c>
      <c r="D56" s="174" t="str">
        <f>IF(D57*0.1&lt;D55,"Exceed 10% Rule","")</f>
        <v/>
      </c>
      <c r="E56" s="174" t="str">
        <f>IF(E57*0.1&lt;E55,"Exceed 10% Rule","")</f>
        <v/>
      </c>
    </row>
    <row r="57" spans="2:5" x14ac:dyDescent="0.2">
      <c r="B57" s="175" t="s">
        <v>75</v>
      </c>
      <c r="C57" s="178">
        <f>SUM(C49:C55)</f>
        <v>0</v>
      </c>
      <c r="D57" s="178">
        <f>SUM(D49:D55)</f>
        <v>0</v>
      </c>
      <c r="E57" s="178">
        <f>SUM(E49:E55)</f>
        <v>0</v>
      </c>
    </row>
    <row r="58" spans="2:5" x14ac:dyDescent="0.2">
      <c r="B58" s="93" t="s">
        <v>138</v>
      </c>
      <c r="C58" s="50">
        <f>C47-C57</f>
        <v>0</v>
      </c>
      <c r="D58" s="50">
        <f>D47-D57</f>
        <v>0</v>
      </c>
      <c r="E58" s="50">
        <f>E47-E57</f>
        <v>0</v>
      </c>
    </row>
    <row r="59" spans="2:5" x14ac:dyDescent="0.2">
      <c r="B59" s="108" t="str">
        <f>CONCATENATE("",E1-2,"/",E1-1,"/",E1," Budget Authority Amount:")</f>
        <v>2022/2023/2024 Budget Authority Amount:</v>
      </c>
      <c r="C59" s="446">
        <f>inputOth!B81</f>
        <v>0</v>
      </c>
      <c r="D59" s="446">
        <f>inputPrYr!D38</f>
        <v>0</v>
      </c>
      <c r="E59" s="458">
        <f>E57</f>
        <v>0</v>
      </c>
    </row>
    <row r="60" spans="2:5" x14ac:dyDescent="0.2">
      <c r="B60" s="80"/>
      <c r="C60" s="186" t="str">
        <f>IF(C57&gt;C59,"See Tab A","")</f>
        <v/>
      </c>
      <c r="D60" s="186" t="str">
        <f>IF(D57&gt;D59,"See Tab C","")</f>
        <v/>
      </c>
      <c r="E60" s="459" t="str">
        <f>IF(E58&lt;0,"See Tab E","")</f>
        <v/>
      </c>
    </row>
    <row r="61" spans="2:5" x14ac:dyDescent="0.2">
      <c r="B61" s="539" t="s">
        <v>539</v>
      </c>
      <c r="C61" s="528" t="str">
        <f>IF(C58&lt;0,"See Tab B","")</f>
        <v/>
      </c>
      <c r="D61" s="528" t="str">
        <f>IF(D58&lt;0,"See Tab D","")</f>
        <v/>
      </c>
      <c r="E61" s="511"/>
    </row>
    <row r="62" spans="2:5" x14ac:dyDescent="0.2">
      <c r="B62" s="529"/>
      <c r="C62" s="186"/>
      <c r="D62" s="186"/>
      <c r="E62" s="403"/>
    </row>
    <row r="63" spans="2:5" x14ac:dyDescent="0.2">
      <c r="B63" s="530"/>
      <c r="C63" s="531"/>
      <c r="D63" s="531"/>
      <c r="E63" s="49"/>
    </row>
    <row r="64" spans="2:5" x14ac:dyDescent="0.2">
      <c r="B64" s="28"/>
      <c r="C64" s="28"/>
      <c r="D64" s="28"/>
      <c r="E64" s="28"/>
    </row>
    <row r="65" spans="2:5" x14ac:dyDescent="0.2">
      <c r="B65" s="272" t="s">
        <v>78</v>
      </c>
      <c r="C65" s="464"/>
      <c r="D65" s="28"/>
      <c r="E65" s="28"/>
    </row>
    <row r="67" spans="2:5" x14ac:dyDescent="0.2">
      <c r="B67" s="540"/>
    </row>
  </sheetData>
  <sheetProtection sheet="1" objects="1" scenarios="1"/>
  <phoneticPr fontId="0" type="noConversion"/>
  <conditionalFormatting sqref="C13">
    <cfRule type="cellIs" dxfId="55" priority="5" stopIfTrue="1" operator="greaterThan">
      <formula>$C$15*0.1</formula>
    </cfRule>
  </conditionalFormatting>
  <conditionalFormatting sqref="C26">
    <cfRule type="cellIs" dxfId="54" priority="8" stopIfTrue="1" operator="greaterThan">
      <formula>$C$28*0.1</formula>
    </cfRule>
  </conditionalFormatting>
  <conditionalFormatting sqref="C28">
    <cfRule type="cellIs" dxfId="53" priority="21" stopIfTrue="1" operator="greaterThan">
      <formula>$C$30</formula>
    </cfRule>
  </conditionalFormatting>
  <conditionalFormatting sqref="C29 C58">
    <cfRule type="cellIs" dxfId="52" priority="19" stopIfTrue="1" operator="lessThan">
      <formula>0</formula>
    </cfRule>
  </conditionalFormatting>
  <conditionalFormatting sqref="C44">
    <cfRule type="cellIs" dxfId="51" priority="11" stopIfTrue="1" operator="greaterThan">
      <formula>$C$46*0.1</formula>
    </cfRule>
  </conditionalFormatting>
  <conditionalFormatting sqref="C55">
    <cfRule type="cellIs" dxfId="50" priority="14" stopIfTrue="1" operator="greaterThan">
      <formula>$C$57*0.1</formula>
    </cfRule>
  </conditionalFormatting>
  <conditionalFormatting sqref="C57">
    <cfRule type="cellIs" dxfId="49" priority="18" stopIfTrue="1" operator="greaterThan">
      <formula>$C$59</formula>
    </cfRule>
  </conditionalFormatting>
  <conditionalFormatting sqref="D13">
    <cfRule type="cellIs" dxfId="48" priority="6" stopIfTrue="1" operator="greaterThan">
      <formula>$D$15*0.1</formula>
    </cfRule>
  </conditionalFormatting>
  <conditionalFormatting sqref="D26">
    <cfRule type="cellIs" dxfId="47" priority="9" stopIfTrue="1" operator="greaterThan">
      <formula>$D$28*0.1</formula>
    </cfRule>
  </conditionalFormatting>
  <conditionalFormatting sqref="D28">
    <cfRule type="cellIs" dxfId="46" priority="20" stopIfTrue="1" operator="greaterThan">
      <formula>$D$30</formula>
    </cfRule>
  </conditionalFormatting>
  <conditionalFormatting sqref="D29">
    <cfRule type="cellIs" dxfId="45" priority="3" stopIfTrue="1" operator="lessThan">
      <formula>0</formula>
    </cfRule>
  </conditionalFormatting>
  <conditionalFormatting sqref="D44">
    <cfRule type="cellIs" dxfId="44" priority="12" stopIfTrue="1" operator="greaterThan">
      <formula>$D$46*0.1</formula>
    </cfRule>
  </conditionalFormatting>
  <conditionalFormatting sqref="D55">
    <cfRule type="cellIs" dxfId="43" priority="15" stopIfTrue="1" operator="greaterThan">
      <formula>$D$57*0.1</formula>
    </cfRule>
  </conditionalFormatting>
  <conditionalFormatting sqref="D57">
    <cfRule type="cellIs" dxfId="42" priority="17" stopIfTrue="1" operator="greaterThan">
      <formula>$D$59</formula>
    </cfRule>
  </conditionalFormatting>
  <conditionalFormatting sqref="D58">
    <cfRule type="cellIs" dxfId="41" priority="4" stopIfTrue="1" operator="lessThan">
      <formula>0</formula>
    </cfRule>
  </conditionalFormatting>
  <conditionalFormatting sqref="E13">
    <cfRule type="cellIs" dxfId="40" priority="7" stopIfTrue="1" operator="greaterThan">
      <formula>$E$15*0.1</formula>
    </cfRule>
  </conditionalFormatting>
  <conditionalFormatting sqref="E26">
    <cfRule type="cellIs" dxfId="39" priority="10" stopIfTrue="1" operator="greaterThan">
      <formula>$E$28*0.1</formula>
    </cfRule>
  </conditionalFormatting>
  <conditionalFormatting sqref="E29:E30">
    <cfRule type="cellIs" dxfId="38" priority="2" stopIfTrue="1" operator="lessThan">
      <formula>0</formula>
    </cfRule>
  </conditionalFormatting>
  <conditionalFormatting sqref="E44">
    <cfRule type="cellIs" dxfId="37" priority="13" stopIfTrue="1" operator="greaterThan">
      <formula>$E$46*0.1</formula>
    </cfRule>
  </conditionalFormatting>
  <conditionalFormatting sqref="E55">
    <cfRule type="cellIs" dxfId="36" priority="16" stopIfTrue="1" operator="greaterThan">
      <formula>$E$57*0.1</formula>
    </cfRule>
  </conditionalFormatting>
  <conditionalFormatting sqref="E58:E59">
    <cfRule type="cellIs" dxfId="35"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topLeftCell="A7" workbookViewId="0">
      <selection activeCell="D23" sqref="D23"/>
    </sheetView>
  </sheetViews>
  <sheetFormatPr defaultColWidth="8.88671875" defaultRowHeight="15.75" x14ac:dyDescent="0.2"/>
  <cols>
    <col min="1" max="1" width="15.77734375" style="26" customWidth="1"/>
    <col min="2" max="2" width="20.77734375" style="26" customWidth="1"/>
    <col min="3" max="3" width="9.77734375" style="26" customWidth="1"/>
    <col min="4" max="4" width="15.109375" style="26" customWidth="1"/>
    <col min="5" max="5" width="15.77734375" style="26" customWidth="1"/>
    <col min="6" max="6" width="1.88671875" style="26" customWidth="1"/>
    <col min="7" max="7" width="18.6640625" style="26" customWidth="1"/>
    <col min="8" max="16384" width="8.88671875" style="26"/>
  </cols>
  <sheetData>
    <row r="1" spans="1:8" x14ac:dyDescent="0.2">
      <c r="A1" s="635" t="s">
        <v>509</v>
      </c>
      <c r="B1" s="636"/>
      <c r="C1" s="636"/>
      <c r="D1" s="636"/>
      <c r="E1" s="636"/>
    </row>
    <row r="2" spans="1:8" x14ac:dyDescent="0.2">
      <c r="A2" s="29"/>
      <c r="B2" s="28"/>
      <c r="C2" s="28"/>
      <c r="D2" s="30"/>
      <c r="E2" s="28"/>
    </row>
    <row r="3" spans="1:8" x14ac:dyDescent="0.2">
      <c r="A3" s="465" t="s">
        <v>510</v>
      </c>
      <c r="B3" s="28"/>
      <c r="C3" s="28"/>
      <c r="D3" s="644" t="s">
        <v>974</v>
      </c>
      <c r="E3" s="645"/>
    </row>
    <row r="4" spans="1:8" x14ac:dyDescent="0.2">
      <c r="A4" s="465" t="s">
        <v>511</v>
      </c>
      <c r="B4" s="28"/>
      <c r="C4" s="28"/>
      <c r="D4" s="644" t="s">
        <v>975</v>
      </c>
      <c r="E4" s="645"/>
    </row>
    <row r="5" spans="1:8" x14ac:dyDescent="0.2">
      <c r="A5" s="466"/>
      <c r="B5" s="28"/>
      <c r="C5" s="28"/>
      <c r="D5" s="30"/>
      <c r="E5" s="28"/>
    </row>
    <row r="6" spans="1:8" x14ac:dyDescent="0.2">
      <c r="A6" s="465" t="s">
        <v>512</v>
      </c>
      <c r="B6" s="28"/>
      <c r="C6" s="31">
        <v>2024</v>
      </c>
      <c r="D6" s="30"/>
      <c r="E6" s="28"/>
    </row>
    <row r="7" spans="1:8" x14ac:dyDescent="0.2">
      <c r="A7" s="465"/>
      <c r="B7" s="28"/>
      <c r="C7" s="28"/>
      <c r="D7" s="30"/>
      <c r="E7" s="28"/>
    </row>
    <row r="8" spans="1:8" x14ac:dyDescent="0.2">
      <c r="A8" s="637" t="s">
        <v>513</v>
      </c>
      <c r="B8" s="637"/>
      <c r="C8" s="637"/>
      <c r="D8" s="637"/>
      <c r="E8" s="637"/>
    </row>
    <row r="9" spans="1:8" x14ac:dyDescent="0.2">
      <c r="A9" s="637"/>
      <c r="B9" s="637"/>
      <c r="C9" s="637"/>
      <c r="D9" s="637"/>
      <c r="E9" s="637"/>
    </row>
    <row r="10" spans="1:8" x14ac:dyDescent="0.2">
      <c r="A10" s="637"/>
      <c r="B10" s="637"/>
      <c r="C10" s="637"/>
      <c r="D10" s="637"/>
      <c r="E10" s="637"/>
    </row>
    <row r="11" spans="1:8" x14ac:dyDescent="0.2">
      <c r="A11" s="633" t="s">
        <v>515</v>
      </c>
      <c r="B11" s="634"/>
      <c r="C11" s="634"/>
      <c r="D11" s="634"/>
      <c r="E11" s="634"/>
    </row>
    <row r="12" spans="1:8" x14ac:dyDescent="0.2">
      <c r="A12" s="28"/>
      <c r="B12" s="28"/>
      <c r="C12" s="28"/>
      <c r="D12" s="28"/>
      <c r="E12" s="28"/>
    </row>
    <row r="13" spans="1:8" ht="15.75" customHeight="1" x14ac:dyDescent="0.2">
      <c r="A13" s="468" t="s">
        <v>212</v>
      </c>
      <c r="B13" s="469"/>
      <c r="C13" s="28"/>
      <c r="D13" s="28"/>
      <c r="E13" s="28"/>
      <c r="F13" s="28"/>
      <c r="G13" s="638" t="s">
        <v>514</v>
      </c>
      <c r="H13" s="639"/>
    </row>
    <row r="14" spans="1:8" x14ac:dyDescent="0.2">
      <c r="A14" s="470" t="str">
        <f>CONCATENATE("the ",C6-1," Budget, Certificate Page:")</f>
        <v>the 2023 Budget, Certificate Page:</v>
      </c>
      <c r="B14" s="471"/>
      <c r="C14" s="28"/>
      <c r="D14" s="28"/>
      <c r="E14" s="28"/>
      <c r="F14" s="28"/>
      <c r="G14" s="640"/>
      <c r="H14" s="641"/>
    </row>
    <row r="15" spans="1:8" x14ac:dyDescent="0.2">
      <c r="A15" s="472" t="s">
        <v>263</v>
      </c>
      <c r="B15" s="473"/>
      <c r="C15" s="28"/>
      <c r="D15" s="28"/>
      <c r="E15" s="28"/>
      <c r="F15" s="28"/>
      <c r="G15" s="640"/>
      <c r="H15" s="641"/>
    </row>
    <row r="16" spans="1:8" x14ac:dyDescent="0.2">
      <c r="A16" s="28"/>
      <c r="B16" s="28"/>
      <c r="C16" s="28"/>
      <c r="D16" s="34">
        <f>C6-1</f>
        <v>2023</v>
      </c>
      <c r="E16" s="34">
        <f>C6-2</f>
        <v>2022</v>
      </c>
      <c r="F16" s="28"/>
      <c r="G16" s="640"/>
      <c r="H16" s="641"/>
    </row>
    <row r="17" spans="1:8" x14ac:dyDescent="0.2">
      <c r="A17" s="29" t="s">
        <v>31</v>
      </c>
      <c r="B17" s="28"/>
      <c r="C17" s="35" t="s">
        <v>32</v>
      </c>
      <c r="D17" s="36" t="s">
        <v>262</v>
      </c>
      <c r="E17" s="36" t="s">
        <v>29</v>
      </c>
      <c r="F17" s="28"/>
      <c r="G17" s="640"/>
      <c r="H17" s="641"/>
    </row>
    <row r="18" spans="1:8" x14ac:dyDescent="0.2">
      <c r="A18" s="28"/>
      <c r="B18" s="37" t="s">
        <v>33</v>
      </c>
      <c r="C18" s="99" t="s">
        <v>140</v>
      </c>
      <c r="D18" s="501">
        <v>1367267</v>
      </c>
      <c r="E18" s="501">
        <v>771791</v>
      </c>
      <c r="F18" s="28"/>
      <c r="G18" s="640"/>
      <c r="H18" s="641"/>
    </row>
    <row r="19" spans="1:8" x14ac:dyDescent="0.2">
      <c r="A19" s="28"/>
      <c r="B19" s="37" t="s">
        <v>16</v>
      </c>
      <c r="C19" s="99" t="s">
        <v>164</v>
      </c>
      <c r="D19" s="501">
        <v>45000</v>
      </c>
      <c r="E19" s="501">
        <v>45021</v>
      </c>
      <c r="F19" s="28"/>
      <c r="G19" s="642"/>
      <c r="H19" s="643"/>
    </row>
    <row r="20" spans="1:8" x14ac:dyDescent="0.2">
      <c r="A20" s="28"/>
      <c r="B20" s="37" t="s">
        <v>418</v>
      </c>
      <c r="C20" s="99" t="s">
        <v>419</v>
      </c>
      <c r="D20" s="39">
        <v>99787</v>
      </c>
      <c r="E20" s="501">
        <v>92374</v>
      </c>
      <c r="F20" s="467"/>
      <c r="G20" s="114" t="s">
        <v>417</v>
      </c>
      <c r="H20" s="99" t="s">
        <v>77</v>
      </c>
    </row>
    <row r="21" spans="1:8" x14ac:dyDescent="0.2">
      <c r="A21" s="29" t="s">
        <v>34</v>
      </c>
      <c r="B21" s="28"/>
      <c r="C21" s="28"/>
      <c r="D21" s="28"/>
      <c r="E21" s="502"/>
      <c r="F21" s="467"/>
      <c r="G21" s="92" t="str">
        <f>CONCATENATE("",E16," Ad Valorem Tax")</f>
        <v>2022 Ad Valorem Tax</v>
      </c>
      <c r="H21" s="367">
        <v>0</v>
      </c>
    </row>
    <row r="22" spans="1:8" x14ac:dyDescent="0.2">
      <c r="A22" s="28"/>
      <c r="B22" s="510" t="s">
        <v>11</v>
      </c>
      <c r="C22" s="254" t="s">
        <v>976</v>
      </c>
      <c r="D22" s="501">
        <v>130000</v>
      </c>
      <c r="E22" s="501">
        <v>112256</v>
      </c>
      <c r="F22" s="467"/>
      <c r="G22" s="141">
        <f>IF(H21&gt;0,ROUND(E18-(E18*H21),0),0)</f>
        <v>0</v>
      </c>
    </row>
    <row r="23" spans="1:8" x14ac:dyDescent="0.2">
      <c r="A23" s="28"/>
      <c r="B23" s="509" t="s">
        <v>977</v>
      </c>
      <c r="C23" s="254" t="s">
        <v>976</v>
      </c>
      <c r="D23" s="39">
        <v>8600</v>
      </c>
      <c r="E23" s="501">
        <v>7869</v>
      </c>
      <c r="F23" s="467"/>
      <c r="G23" s="141">
        <f>IF(H21&gt;0,ROUND(E19-(E19*H21),0),0)</f>
        <v>0</v>
      </c>
    </row>
    <row r="24" spans="1:8" x14ac:dyDescent="0.2">
      <c r="A24" s="28"/>
      <c r="B24" s="509" t="s">
        <v>978</v>
      </c>
      <c r="C24" s="254" t="s">
        <v>979</v>
      </c>
      <c r="D24" s="39">
        <v>40000</v>
      </c>
      <c r="E24" s="501">
        <v>33814</v>
      </c>
      <c r="F24" s="467"/>
      <c r="G24" s="141">
        <f>IF(H21&gt;0,ROUND(E20-(E20*H21),0),0)</f>
        <v>0</v>
      </c>
    </row>
    <row r="25" spans="1:8" x14ac:dyDescent="0.2">
      <c r="A25" s="28"/>
      <c r="B25" s="509"/>
      <c r="C25" s="254"/>
      <c r="D25" s="39"/>
      <c r="E25" s="501"/>
      <c r="F25" s="467"/>
      <c r="G25" s="40"/>
    </row>
    <row r="26" spans="1:8" x14ac:dyDescent="0.2">
      <c r="A26" s="28"/>
      <c r="B26" s="509"/>
      <c r="C26" s="254"/>
      <c r="D26" s="39"/>
      <c r="E26" s="501"/>
      <c r="F26" s="467"/>
      <c r="G26" s="141">
        <f>IF(H21&gt;0,ROUND(E22-(E22*H21),0),0)</f>
        <v>0</v>
      </c>
    </row>
    <row r="27" spans="1:8" x14ac:dyDescent="0.2">
      <c r="A27" s="28"/>
      <c r="B27" s="509"/>
      <c r="C27" s="254"/>
      <c r="D27" s="39"/>
      <c r="E27" s="501"/>
      <c r="F27" s="467"/>
      <c r="G27" s="141">
        <f>IF(H21&gt;0,ROUND(E23-(E23*H21),0),0)</f>
        <v>0</v>
      </c>
    </row>
    <row r="28" spans="1:8" x14ac:dyDescent="0.2">
      <c r="A28" s="28"/>
      <c r="B28" s="509"/>
      <c r="C28" s="254"/>
      <c r="D28" s="39"/>
      <c r="E28" s="501"/>
      <c r="F28" s="467"/>
      <c r="G28" s="141">
        <f>IF(H21&gt;0,ROUND(E24-(E24*H21),0),0)</f>
        <v>0</v>
      </c>
    </row>
    <row r="29" spans="1:8" x14ac:dyDescent="0.2">
      <c r="A29" s="28"/>
      <c r="B29" s="509"/>
      <c r="C29" s="254"/>
      <c r="D29" s="39"/>
      <c r="E29" s="501"/>
      <c r="F29" s="467"/>
      <c r="G29" s="141">
        <f>IF(H21&gt;0,ROUND(E25-(E25*H21),0),0)</f>
        <v>0</v>
      </c>
    </row>
    <row r="30" spans="1:8" x14ac:dyDescent="0.2">
      <c r="A30" s="28"/>
      <c r="B30" s="509"/>
      <c r="C30" s="254"/>
      <c r="D30" s="39"/>
      <c r="E30" s="501"/>
      <c r="F30" s="467"/>
      <c r="G30" s="141">
        <f>IF(H21&gt;0,ROUND(E26-(E26*H21),0),0)</f>
        <v>0</v>
      </c>
    </row>
    <row r="31" spans="1:8" x14ac:dyDescent="0.2">
      <c r="A31" s="28"/>
      <c r="B31" s="509"/>
      <c r="C31" s="254"/>
      <c r="D31" s="39"/>
      <c r="E31" s="501"/>
      <c r="F31" s="467"/>
      <c r="G31" s="141">
        <f>IF(H21&gt;0,ROUND(E27-(E27*H21),0),0)</f>
        <v>0</v>
      </c>
    </row>
    <row r="32" spans="1:8" x14ac:dyDescent="0.2">
      <c r="A32" s="42" t="str">
        <f>CONCATENATE("Total Tax Levy Funds for ",C6-1," Budgeted Year")</f>
        <v>Total Tax Levy Funds for 2023 Budgeted Year</v>
      </c>
      <c r="B32" s="43"/>
      <c r="C32" s="44"/>
      <c r="D32" s="45"/>
      <c r="E32" s="46">
        <f>SUM(E18:E31)</f>
        <v>1063125</v>
      </c>
      <c r="F32" s="467"/>
      <c r="G32" s="141">
        <f>IF(H21&gt;0,ROUND(E28-(E28*H21),0),0)</f>
        <v>0</v>
      </c>
    </row>
    <row r="33" spans="1:7" x14ac:dyDescent="0.2">
      <c r="A33" s="29"/>
      <c r="B33" s="28"/>
      <c r="C33" s="28"/>
      <c r="D33" s="47"/>
      <c r="E33" s="40"/>
      <c r="F33" s="467"/>
      <c r="G33" s="141">
        <f>IF(H21&gt;0,ROUND(E29-(E29*H21),0),0)</f>
        <v>0</v>
      </c>
    </row>
    <row r="34" spans="1:7" x14ac:dyDescent="0.2">
      <c r="A34" s="29" t="s">
        <v>169</v>
      </c>
      <c r="B34" s="28"/>
      <c r="C34" s="28"/>
      <c r="D34" s="28"/>
      <c r="E34" s="28"/>
      <c r="F34" s="467"/>
      <c r="G34" s="141">
        <f>IF(H21&gt;0,ROUND(E30-(E30*H21),0),0)</f>
        <v>0</v>
      </c>
    </row>
    <row r="35" spans="1:7" x14ac:dyDescent="0.2">
      <c r="A35" s="28"/>
      <c r="B35" s="38" t="s">
        <v>132</v>
      </c>
      <c r="C35" s="28"/>
      <c r="D35" s="39">
        <v>54403</v>
      </c>
      <c r="E35" s="28"/>
      <c r="F35" s="467"/>
      <c r="G35" s="141">
        <f>IF(H21&gt;0,ROUND(E31-(E31*H21),0),0)</f>
        <v>0</v>
      </c>
    </row>
    <row r="36" spans="1:7" x14ac:dyDescent="0.2">
      <c r="A36" s="28"/>
      <c r="B36" s="41" t="s">
        <v>980</v>
      </c>
      <c r="C36" s="28"/>
      <c r="D36" s="39">
        <v>53947</v>
      </c>
      <c r="E36" s="28"/>
    </row>
    <row r="37" spans="1:7" x14ac:dyDescent="0.2">
      <c r="A37" s="28"/>
      <c r="B37" s="41" t="s">
        <v>981</v>
      </c>
      <c r="C37" s="28"/>
      <c r="D37" s="39">
        <v>5000</v>
      </c>
      <c r="E37" s="28"/>
    </row>
    <row r="38" spans="1:7" x14ac:dyDescent="0.2">
      <c r="A38" s="28"/>
      <c r="B38" s="41"/>
      <c r="C38" s="28"/>
      <c r="D38" s="39"/>
      <c r="E38" s="28"/>
    </row>
    <row r="39" spans="1:7" x14ac:dyDescent="0.2">
      <c r="A39" s="28"/>
      <c r="B39" s="41"/>
      <c r="C39" s="28"/>
      <c r="D39" s="39"/>
      <c r="E39" s="28"/>
    </row>
    <row r="40" spans="1:7" x14ac:dyDescent="0.2">
      <c r="A40" s="28"/>
      <c r="B40" s="41"/>
      <c r="C40" s="28"/>
      <c r="D40" s="39"/>
      <c r="E40" s="28"/>
    </row>
    <row r="41" spans="1:7" x14ac:dyDescent="0.2">
      <c r="A41" s="28"/>
      <c r="B41" s="41"/>
      <c r="C41" s="28"/>
      <c r="D41" s="39"/>
      <c r="E41" s="28"/>
    </row>
    <row r="42" spans="1:7" x14ac:dyDescent="0.2">
      <c r="A42" s="28"/>
      <c r="B42" s="41"/>
      <c r="C42" s="28"/>
      <c r="D42" s="39"/>
      <c r="E42" s="28"/>
    </row>
    <row r="43" spans="1:7" x14ac:dyDescent="0.2">
      <c r="A43" s="28"/>
      <c r="B43" s="41"/>
      <c r="C43" s="28"/>
      <c r="D43" s="39"/>
      <c r="E43" s="28"/>
    </row>
    <row r="44" spans="1:7" x14ac:dyDescent="0.2">
      <c r="A44" s="28"/>
      <c r="B44" s="41"/>
      <c r="C44" s="28"/>
      <c r="D44" s="39"/>
      <c r="E44" s="28"/>
    </row>
    <row r="45" spans="1:7" x14ac:dyDescent="0.2">
      <c r="A45" s="28"/>
      <c r="B45" s="48"/>
      <c r="C45" s="28"/>
      <c r="D45" s="39"/>
      <c r="E45" s="28"/>
    </row>
    <row r="46" spans="1:7" x14ac:dyDescent="0.2">
      <c r="A46" s="28"/>
      <c r="B46" s="48"/>
      <c r="C46" s="28"/>
      <c r="D46" s="39"/>
      <c r="E46" s="28"/>
    </row>
    <row r="47" spans="1:7" x14ac:dyDescent="0.2">
      <c r="A47" s="28"/>
      <c r="B47" s="48"/>
      <c r="C47" s="28"/>
      <c r="D47" s="39"/>
      <c r="E47" s="28"/>
    </row>
    <row r="48" spans="1:7" x14ac:dyDescent="0.2">
      <c r="A48" s="28"/>
      <c r="B48" s="48"/>
      <c r="C48" s="28"/>
      <c r="D48" s="39"/>
      <c r="E48" s="28"/>
    </row>
    <row r="49" spans="1:5" x14ac:dyDescent="0.2">
      <c r="A49" s="28"/>
      <c r="B49" s="48"/>
      <c r="C49" s="28"/>
      <c r="D49" s="39"/>
      <c r="E49" s="28"/>
    </row>
    <row r="50" spans="1:5" x14ac:dyDescent="0.2">
      <c r="A50" s="28"/>
      <c r="B50" s="48"/>
      <c r="C50" s="28"/>
      <c r="D50" s="39"/>
      <c r="E50" s="28"/>
    </row>
    <row r="51" spans="1:5" x14ac:dyDescent="0.2">
      <c r="A51" s="28" t="s">
        <v>191</v>
      </c>
      <c r="B51" s="480"/>
      <c r="C51" s="28"/>
      <c r="D51" s="28"/>
      <c r="E51" s="28"/>
    </row>
    <row r="52" spans="1:5" x14ac:dyDescent="0.2">
      <c r="A52" s="28">
        <v>1</v>
      </c>
      <c r="B52" s="479" t="s">
        <v>982</v>
      </c>
      <c r="C52" s="28"/>
      <c r="D52" s="39">
        <v>253700</v>
      </c>
      <c r="E52" s="28"/>
    </row>
    <row r="53" spans="1:5" x14ac:dyDescent="0.2">
      <c r="A53" s="28">
        <v>2</v>
      </c>
      <c r="B53" s="48" t="s">
        <v>983</v>
      </c>
      <c r="C53" s="28"/>
      <c r="D53" s="39">
        <v>261289</v>
      </c>
      <c r="E53" s="28"/>
    </row>
    <row r="54" spans="1:5" x14ac:dyDescent="0.2">
      <c r="A54" s="28">
        <v>3</v>
      </c>
      <c r="B54" s="48" t="s">
        <v>984</v>
      </c>
      <c r="C54" s="28"/>
      <c r="D54" s="39">
        <v>1131143</v>
      </c>
      <c r="E54" s="28"/>
    </row>
    <row r="55" spans="1:5" x14ac:dyDescent="0.2">
      <c r="A55" s="28">
        <v>4</v>
      </c>
      <c r="B55" s="48"/>
      <c r="C55" s="28"/>
      <c r="D55" s="39"/>
      <c r="E55" s="28"/>
    </row>
    <row r="56" spans="1:5" x14ac:dyDescent="0.2">
      <c r="A56" s="42" t="str">
        <f>CONCATENATE("Total Expenditures for ",C6-1," Budgeted Year")</f>
        <v>Total Expenditures for 2023 Budgeted Year</v>
      </c>
      <c r="B56" s="480"/>
      <c r="C56" s="49"/>
      <c r="D56" s="50">
        <f>SUM(D18:D20,D22:D31,D35:D50,D52:D55)</f>
        <v>3450136</v>
      </c>
      <c r="E56" s="28"/>
    </row>
    <row r="57" spans="1:5" x14ac:dyDescent="0.2">
      <c r="A57" s="28" t="s">
        <v>192</v>
      </c>
      <c r="B57" s="480"/>
      <c r="C57" s="28"/>
      <c r="D57" s="28"/>
      <c r="E57" s="28"/>
    </row>
    <row r="58" spans="1:5" x14ac:dyDescent="0.2">
      <c r="A58" s="28">
        <v>1</v>
      </c>
      <c r="B58" s="479" t="s">
        <v>985</v>
      </c>
      <c r="C58" s="28"/>
      <c r="D58" s="28"/>
      <c r="E58" s="28"/>
    </row>
    <row r="59" spans="1:5" x14ac:dyDescent="0.2">
      <c r="A59" s="28">
        <v>2</v>
      </c>
      <c r="B59" s="48" t="s">
        <v>986</v>
      </c>
      <c r="C59" s="28"/>
      <c r="D59" s="28"/>
      <c r="E59" s="28"/>
    </row>
    <row r="60" spans="1:5" x14ac:dyDescent="0.2">
      <c r="A60" s="28">
        <v>3</v>
      </c>
      <c r="B60" s="48" t="s">
        <v>984</v>
      </c>
      <c r="C60" s="28"/>
      <c r="D60" s="28"/>
      <c r="E60" s="28"/>
    </row>
    <row r="61" spans="1:5" x14ac:dyDescent="0.2">
      <c r="A61" s="28">
        <v>4</v>
      </c>
      <c r="B61" s="48" t="s">
        <v>987</v>
      </c>
      <c r="C61" s="28"/>
      <c r="D61" s="28"/>
      <c r="E61" s="28"/>
    </row>
    <row r="62" spans="1:5" x14ac:dyDescent="0.2">
      <c r="A62" s="28">
        <v>5</v>
      </c>
      <c r="B62" s="48" t="s">
        <v>988</v>
      </c>
      <c r="C62" s="28"/>
      <c r="D62" s="28"/>
      <c r="E62" s="28"/>
    </row>
    <row r="63" spans="1:5" x14ac:dyDescent="0.2">
      <c r="A63" s="28" t="s">
        <v>193</v>
      </c>
      <c r="B63" s="480"/>
      <c r="C63" s="28"/>
      <c r="D63" s="28"/>
      <c r="E63" s="28"/>
    </row>
    <row r="64" spans="1:5" x14ac:dyDescent="0.2">
      <c r="A64" s="28">
        <v>1</v>
      </c>
      <c r="B64" s="479" t="s">
        <v>989</v>
      </c>
      <c r="C64" s="28"/>
      <c r="D64" s="28"/>
      <c r="E64" s="28"/>
    </row>
    <row r="65" spans="1:5" x14ac:dyDescent="0.2">
      <c r="A65" s="28">
        <v>2</v>
      </c>
      <c r="B65" s="48" t="s">
        <v>990</v>
      </c>
      <c r="C65" s="28"/>
      <c r="D65" s="28"/>
      <c r="E65" s="28"/>
    </row>
    <row r="66" spans="1:5" x14ac:dyDescent="0.2">
      <c r="A66" s="28">
        <v>3</v>
      </c>
      <c r="B66" s="48" t="s">
        <v>991</v>
      </c>
      <c r="C66" s="28"/>
      <c r="D66" s="28"/>
      <c r="E66" s="28"/>
    </row>
    <row r="67" spans="1:5" x14ac:dyDescent="0.2">
      <c r="A67" s="28">
        <v>4</v>
      </c>
      <c r="B67" s="48" t="s">
        <v>992</v>
      </c>
      <c r="C67" s="28"/>
      <c r="D67" s="28"/>
      <c r="E67" s="28"/>
    </row>
    <row r="68" spans="1:5" x14ac:dyDescent="0.2">
      <c r="A68" s="28">
        <v>5</v>
      </c>
      <c r="B68" s="48" t="s">
        <v>993</v>
      </c>
      <c r="C68" s="28"/>
      <c r="D68" s="28"/>
      <c r="E68" s="28"/>
    </row>
    <row r="69" spans="1:5" x14ac:dyDescent="0.2">
      <c r="A69" s="28" t="s">
        <v>194</v>
      </c>
      <c r="B69" s="480"/>
      <c r="C69" s="28"/>
      <c r="D69" s="28"/>
      <c r="E69" s="28"/>
    </row>
    <row r="70" spans="1:5" x14ac:dyDescent="0.2">
      <c r="A70" s="28">
        <v>1</v>
      </c>
      <c r="B70" s="479"/>
      <c r="C70" s="28"/>
      <c r="D70" s="28"/>
      <c r="E70" s="28"/>
    </row>
    <row r="71" spans="1:5" x14ac:dyDescent="0.2">
      <c r="A71" s="28">
        <v>2</v>
      </c>
      <c r="B71" s="48"/>
      <c r="C71" s="28"/>
      <c r="D71" s="28"/>
      <c r="E71" s="28"/>
    </row>
    <row r="72" spans="1:5" x14ac:dyDescent="0.2">
      <c r="A72" s="28">
        <v>3</v>
      </c>
      <c r="B72" s="48"/>
      <c r="C72" s="28"/>
      <c r="D72" s="28"/>
      <c r="E72" s="28"/>
    </row>
    <row r="73" spans="1:5" x14ac:dyDescent="0.2">
      <c r="A73" s="28">
        <v>4</v>
      </c>
      <c r="B73" s="48"/>
      <c r="C73" s="28"/>
      <c r="D73" s="28"/>
      <c r="E73" s="28"/>
    </row>
    <row r="74" spans="1:5" x14ac:dyDescent="0.2">
      <c r="A74" s="28">
        <v>5</v>
      </c>
      <c r="B74" s="48"/>
      <c r="C74" s="28"/>
      <c r="D74" s="28"/>
      <c r="E74" s="28"/>
    </row>
    <row r="75" spans="1:5" x14ac:dyDescent="0.2">
      <c r="A75" s="28" t="s">
        <v>195</v>
      </c>
      <c r="B75" s="480"/>
      <c r="C75" s="28"/>
      <c r="D75" s="28"/>
      <c r="E75" s="28"/>
    </row>
    <row r="76" spans="1:5" x14ac:dyDescent="0.2">
      <c r="A76" s="28">
        <v>1</v>
      </c>
      <c r="B76" s="479"/>
      <c r="C76" s="28"/>
      <c r="D76" s="28"/>
      <c r="E76" s="28"/>
    </row>
    <row r="77" spans="1:5" x14ac:dyDescent="0.2">
      <c r="A77" s="28">
        <v>2</v>
      </c>
      <c r="B77" s="48"/>
      <c r="C77" s="28"/>
      <c r="D77" s="28"/>
      <c r="E77" s="28"/>
    </row>
    <row r="78" spans="1:5" x14ac:dyDescent="0.2">
      <c r="A78" s="28">
        <v>3</v>
      </c>
      <c r="B78" s="48"/>
      <c r="C78" s="28"/>
      <c r="D78" s="28"/>
      <c r="E78" s="28"/>
    </row>
    <row r="79" spans="1:5" x14ac:dyDescent="0.2">
      <c r="A79" s="28">
        <v>4</v>
      </c>
      <c r="B79" s="48"/>
      <c r="C79" s="28"/>
      <c r="D79" s="28"/>
      <c r="E79" s="28"/>
    </row>
    <row r="80" spans="1:5" x14ac:dyDescent="0.2">
      <c r="A80" s="28">
        <v>5</v>
      </c>
      <c r="B80" s="48"/>
      <c r="C80" s="28"/>
      <c r="D80" s="28"/>
      <c r="E80" s="28"/>
    </row>
    <row r="81" spans="1:5" x14ac:dyDescent="0.2">
      <c r="A81" s="29"/>
      <c r="B81" s="28"/>
      <c r="C81" s="28"/>
      <c r="D81" s="28"/>
      <c r="E81" s="51"/>
    </row>
    <row r="82" spans="1:5" x14ac:dyDescent="0.2">
      <c r="A82" s="28"/>
      <c r="B82" s="28"/>
      <c r="C82" s="28"/>
      <c r="D82" s="28"/>
      <c r="E82" s="28"/>
    </row>
    <row r="83" spans="1:5" x14ac:dyDescent="0.2">
      <c r="A83" s="28"/>
      <c r="B83" s="28"/>
      <c r="C83" s="28"/>
      <c r="D83" s="477" t="str">
        <f>CONCATENATE("",C6-3," Tax Rate")</f>
        <v>2021 Tax Rate</v>
      </c>
      <c r="E83" s="28"/>
    </row>
    <row r="84" spans="1:5" x14ac:dyDescent="0.2">
      <c r="A84" s="475" t="str">
        <f>CONCATENATE("From the ",C6-1," Budget, Budget Summary Page")</f>
        <v>From the 2023 Budget, Budget Summary Page</v>
      </c>
      <c r="B84" s="476"/>
      <c r="C84" s="28"/>
      <c r="D84" s="478" t="str">
        <f>CONCATENATE("(",C6-2," Column)")</f>
        <v>(2022 Column)</v>
      </c>
      <c r="E84" s="28"/>
    </row>
    <row r="85" spans="1:5" x14ac:dyDescent="0.2">
      <c r="A85" s="28"/>
      <c r="B85" s="474" t="str">
        <f>B18</f>
        <v>General</v>
      </c>
      <c r="C85" s="28"/>
      <c r="D85" s="48">
        <v>38.634999999999998</v>
      </c>
      <c r="E85" s="28"/>
    </row>
    <row r="86" spans="1:5" x14ac:dyDescent="0.2">
      <c r="A86" s="28"/>
      <c r="B86" s="52" t="str">
        <f>B19</f>
        <v>Debt Service</v>
      </c>
      <c r="C86" s="28"/>
      <c r="D86" s="48">
        <v>0.26700000000000002</v>
      </c>
      <c r="E86" s="28"/>
    </row>
    <row r="87" spans="1:5" x14ac:dyDescent="0.2">
      <c r="A87" s="28"/>
      <c r="B87" s="52" t="str">
        <f>B20</f>
        <v>Library</v>
      </c>
      <c r="C87" s="28"/>
      <c r="D87" s="48">
        <v>4.7169999999999996</v>
      </c>
      <c r="E87" s="28"/>
    </row>
    <row r="88" spans="1:5" x14ac:dyDescent="0.2">
      <c r="A88" s="28"/>
      <c r="B88" s="52" t="str">
        <f t="shared" ref="B88:B97" si="0">B22</f>
        <v>Employee Benefits</v>
      </c>
      <c r="C88" s="28"/>
      <c r="D88" s="48">
        <v>5.9939999999999998</v>
      </c>
      <c r="E88" s="28"/>
    </row>
    <row r="89" spans="1:5" x14ac:dyDescent="0.2">
      <c r="A89" s="28"/>
      <c r="B89" s="52" t="str">
        <f t="shared" si="0"/>
        <v>Library Employee Benefits</v>
      </c>
      <c r="C89" s="28"/>
      <c r="D89" s="48">
        <v>0.46</v>
      </c>
      <c r="E89" s="28"/>
    </row>
    <row r="90" spans="1:5" x14ac:dyDescent="0.2">
      <c r="A90" s="28"/>
      <c r="B90" s="52" t="str">
        <f t="shared" si="0"/>
        <v>Special Tort Claim</v>
      </c>
      <c r="C90" s="28"/>
      <c r="D90" s="48">
        <v>1.5049999999999999</v>
      </c>
      <c r="E90" s="28"/>
    </row>
    <row r="91" spans="1:5" x14ac:dyDescent="0.2">
      <c r="A91" s="28"/>
      <c r="B91" s="52">
        <f t="shared" si="0"/>
        <v>0</v>
      </c>
      <c r="C91" s="28"/>
      <c r="D91" s="48"/>
      <c r="E91" s="28"/>
    </row>
    <row r="92" spans="1:5" x14ac:dyDescent="0.2">
      <c r="A92" s="28"/>
      <c r="B92" s="52">
        <f t="shared" si="0"/>
        <v>0</v>
      </c>
      <c r="C92" s="28"/>
      <c r="D92" s="48"/>
      <c r="E92" s="28"/>
    </row>
    <row r="93" spans="1:5" x14ac:dyDescent="0.2">
      <c r="A93" s="28"/>
      <c r="B93" s="52">
        <f t="shared" si="0"/>
        <v>0</v>
      </c>
      <c r="C93" s="28"/>
      <c r="D93" s="48"/>
      <c r="E93" s="28"/>
    </row>
    <row r="94" spans="1:5" x14ac:dyDescent="0.2">
      <c r="A94" s="28"/>
      <c r="B94" s="52">
        <f t="shared" si="0"/>
        <v>0</v>
      </c>
      <c r="C94" s="28"/>
      <c r="D94" s="48"/>
      <c r="E94" s="28"/>
    </row>
    <row r="95" spans="1:5" x14ac:dyDescent="0.2">
      <c r="A95" s="28"/>
      <c r="B95" s="52">
        <f t="shared" si="0"/>
        <v>0</v>
      </c>
      <c r="C95" s="28"/>
      <c r="D95" s="48"/>
      <c r="E95" s="28"/>
    </row>
    <row r="96" spans="1:5" x14ac:dyDescent="0.2">
      <c r="A96" s="28"/>
      <c r="B96" s="52">
        <f t="shared" si="0"/>
        <v>0</v>
      </c>
      <c r="C96" s="28"/>
      <c r="D96" s="48"/>
      <c r="E96" s="28"/>
    </row>
    <row r="97" spans="1:5" x14ac:dyDescent="0.2">
      <c r="A97" s="28"/>
      <c r="B97" s="52">
        <f t="shared" si="0"/>
        <v>0</v>
      </c>
      <c r="C97" s="96"/>
      <c r="D97" s="48"/>
      <c r="E97" s="28"/>
    </row>
    <row r="98" spans="1:5" x14ac:dyDescent="0.2">
      <c r="A98" s="42" t="s">
        <v>35</v>
      </c>
      <c r="B98" s="43"/>
      <c r="C98" s="49"/>
      <c r="D98" s="53">
        <f>SUM(D85:D97)</f>
        <v>51.578000000000003</v>
      </c>
      <c r="E98" s="28"/>
    </row>
    <row r="99" spans="1:5" x14ac:dyDescent="0.2">
      <c r="A99" s="28"/>
      <c r="B99" s="28"/>
      <c r="C99" s="28"/>
      <c r="D99" s="28"/>
      <c r="E99" s="28"/>
    </row>
    <row r="100" spans="1:5" x14ac:dyDescent="0.2">
      <c r="A100" s="481" t="str">
        <f>CONCATENATE("Total Tax Levied (",C6-2," budget column)")</f>
        <v>Total Tax Levied (2022 budget column)</v>
      </c>
      <c r="B100" s="482"/>
      <c r="C100" s="43"/>
      <c r="D100" s="49"/>
      <c r="E100" s="39">
        <v>898288</v>
      </c>
    </row>
    <row r="101" spans="1:5" x14ac:dyDescent="0.2">
      <c r="A101" s="481" t="str">
        <f>CONCATENATE("Assessed Valuation  (",C6-2," budget column)")</f>
        <v>Assessed Valuation  (2022 budget column)</v>
      </c>
      <c r="B101" s="482"/>
      <c r="C101" s="44"/>
      <c r="D101" s="54"/>
      <c r="E101" s="39">
        <v>17416209</v>
      </c>
    </row>
    <row r="102" spans="1:5" x14ac:dyDescent="0.2">
      <c r="A102" s="29"/>
      <c r="B102" s="28"/>
      <c r="C102" s="28"/>
      <c r="D102" s="28"/>
      <c r="E102" s="51"/>
    </row>
    <row r="103" spans="1:5" x14ac:dyDescent="0.2">
      <c r="A103" s="483" t="str">
        <f>CONCATENATE("From the ",C6-1," Budget, Budget Summary Page")</f>
        <v>From the 2023 Budget, Budget Summary Page</v>
      </c>
      <c r="B103" s="484"/>
      <c r="C103" s="28"/>
      <c r="D103" s="55"/>
      <c r="E103" s="56"/>
    </row>
    <row r="104" spans="1:5" x14ac:dyDescent="0.2">
      <c r="A104" s="485" t="s">
        <v>2</v>
      </c>
      <c r="B104" s="486"/>
      <c r="C104" s="57"/>
      <c r="D104" s="58">
        <f>C6-3</f>
        <v>2021</v>
      </c>
      <c r="E104" s="59">
        <f>C6-2</f>
        <v>2022</v>
      </c>
    </row>
    <row r="105" spans="1:5" x14ac:dyDescent="0.2">
      <c r="A105" s="487" t="s">
        <v>165</v>
      </c>
      <c r="B105" s="488"/>
      <c r="C105" s="60"/>
      <c r="D105" s="61">
        <v>1835000</v>
      </c>
      <c r="E105" s="61">
        <v>1725000</v>
      </c>
    </row>
    <row r="106" spans="1:5" x14ac:dyDescent="0.2">
      <c r="A106" s="489" t="s">
        <v>166</v>
      </c>
      <c r="B106" s="490"/>
      <c r="C106" s="63"/>
      <c r="D106" s="61"/>
      <c r="E106" s="61"/>
    </row>
    <row r="107" spans="1:5" x14ac:dyDescent="0.2">
      <c r="A107" s="489" t="s">
        <v>167</v>
      </c>
      <c r="B107" s="490"/>
      <c r="C107" s="63"/>
      <c r="D107" s="61">
        <v>543111</v>
      </c>
      <c r="E107" s="61">
        <v>367631</v>
      </c>
    </row>
    <row r="108" spans="1:5" x14ac:dyDescent="0.2">
      <c r="A108" s="489" t="s">
        <v>168</v>
      </c>
      <c r="B108" s="490"/>
      <c r="C108" s="63"/>
      <c r="D108" s="61">
        <v>126983</v>
      </c>
      <c r="E108" s="61">
        <v>53957</v>
      </c>
    </row>
    <row r="109" spans="1:5" x14ac:dyDescent="0.2">
      <c r="A109" s="64"/>
      <c r="B109" s="64"/>
      <c r="C109" s="64"/>
      <c r="D109" s="64"/>
      <c r="E109" s="64"/>
    </row>
    <row r="110" spans="1:5" x14ac:dyDescent="0.2">
      <c r="A110" s="64"/>
      <c r="B110" s="64"/>
      <c r="C110" s="64"/>
      <c r="D110" s="64"/>
      <c r="E110" s="64"/>
    </row>
    <row r="111" spans="1:5" x14ac:dyDescent="0.2">
      <c r="A111" s="64"/>
      <c r="B111" s="64"/>
      <c r="C111" s="64"/>
      <c r="D111" s="64"/>
      <c r="E111" s="64"/>
    </row>
    <row r="112" spans="1:5" x14ac:dyDescent="0.2">
      <c r="A112" s="64"/>
      <c r="B112" s="64"/>
      <c r="C112" s="64"/>
      <c r="D112" s="64"/>
      <c r="E112" s="64"/>
    </row>
    <row r="113" spans="1:5" x14ac:dyDescent="0.2">
      <c r="A113" s="64"/>
      <c r="B113" s="64"/>
      <c r="C113" s="64"/>
      <c r="D113" s="64"/>
      <c r="E113" s="64"/>
    </row>
    <row r="114" spans="1:5" x14ac:dyDescent="0.2">
      <c r="A114" s="64"/>
      <c r="B114" s="64"/>
      <c r="C114" s="64"/>
      <c r="D114" s="64"/>
      <c r="E114" s="64"/>
    </row>
    <row r="115" spans="1:5" x14ac:dyDescent="0.2">
      <c r="A115" s="64"/>
      <c r="B115" s="64"/>
      <c r="C115" s="64"/>
      <c r="D115" s="64"/>
      <c r="E115" s="64"/>
    </row>
    <row r="116" spans="1:5" x14ac:dyDescent="0.2">
      <c r="A116" s="64"/>
      <c r="B116" s="64"/>
      <c r="C116" s="64"/>
      <c r="D116" s="64"/>
      <c r="E116" s="64"/>
    </row>
    <row r="117" spans="1:5" x14ac:dyDescent="0.2">
      <c r="A117" s="64"/>
      <c r="B117" s="64"/>
      <c r="C117" s="64"/>
      <c r="D117" s="64"/>
      <c r="E117" s="64"/>
    </row>
    <row r="118" spans="1:5" x14ac:dyDescent="0.2">
      <c r="A118" s="64"/>
      <c r="B118" s="64"/>
      <c r="C118" s="64"/>
      <c r="D118" s="64"/>
      <c r="E118" s="64"/>
    </row>
    <row r="119" spans="1:5" s="64" customFormat="1" ht="15" x14ac:dyDescent="0.2"/>
    <row r="120" spans="1:5" x14ac:dyDescent="0.2">
      <c r="A120" s="64"/>
      <c r="B120" s="64"/>
      <c r="C120" s="64"/>
      <c r="D120" s="64"/>
      <c r="E120" s="64"/>
    </row>
    <row r="121" spans="1:5" x14ac:dyDescent="0.2">
      <c r="A121" s="64"/>
      <c r="B121" s="64"/>
      <c r="C121" s="64"/>
      <c r="D121" s="64"/>
      <c r="E121" s="64"/>
    </row>
    <row r="122" spans="1:5" x14ac:dyDescent="0.2">
      <c r="A122" s="64"/>
      <c r="B122" s="64"/>
      <c r="C122" s="64"/>
      <c r="D122" s="64"/>
      <c r="E122" s="64"/>
    </row>
    <row r="123" spans="1:5" x14ac:dyDescent="0.2">
      <c r="A123" s="64"/>
      <c r="B123" s="64"/>
      <c r="C123" s="64"/>
      <c r="D123" s="64"/>
      <c r="E123" s="64"/>
    </row>
    <row r="124" spans="1:5" x14ac:dyDescent="0.2">
      <c r="A124" s="64"/>
      <c r="B124" s="64"/>
      <c r="C124" s="64"/>
      <c r="D124" s="64"/>
      <c r="E124" s="64"/>
    </row>
    <row r="125" spans="1:5" x14ac:dyDescent="0.2">
      <c r="A125" s="64"/>
      <c r="B125" s="64"/>
      <c r="C125" s="64"/>
      <c r="D125" s="64"/>
      <c r="E125" s="64"/>
    </row>
    <row r="126" spans="1:5" x14ac:dyDescent="0.2">
      <c r="A126" s="64"/>
      <c r="B126" s="64"/>
      <c r="C126" s="64"/>
      <c r="D126" s="64"/>
      <c r="E126" s="64"/>
    </row>
  </sheetData>
  <sheetProtection sheet="1" objects="1" scenarios="1"/>
  <mergeCells count="6">
    <mergeCell ref="A11:E11"/>
    <mergeCell ref="A1:E1"/>
    <mergeCell ref="A8:E10"/>
    <mergeCell ref="G13:H19"/>
    <mergeCell ref="D3:E3"/>
    <mergeCell ref="D4:E4"/>
  </mergeCells>
  <phoneticPr fontId="0" type="noConversion"/>
  <pageMargins left="0.5" right="0.5" top="1" bottom="0.5" header="0.5" footer="0.25"/>
  <pageSetup scale="75"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52"/>
  <sheetViews>
    <sheetView workbookViewId="0">
      <selection activeCell="F1" sqref="F1"/>
    </sheetView>
  </sheetViews>
  <sheetFormatPr defaultColWidth="8.88671875" defaultRowHeight="15" x14ac:dyDescent="0.2"/>
  <cols>
    <col min="1" max="1" width="2.44140625" style="64" customWidth="1"/>
    <col min="2" max="2" width="31.109375" style="64" customWidth="1"/>
    <col min="3" max="4" width="15.77734375" style="64" customWidth="1"/>
    <col min="5" max="5" width="16.33203125" style="64" customWidth="1"/>
    <col min="6" max="16384" width="8.88671875" style="64"/>
  </cols>
  <sheetData>
    <row r="1" spans="2:5" ht="15.75" x14ac:dyDescent="0.2">
      <c r="B1" s="47" t="str">
        <f>(inputPrYr!D3)</f>
        <v>Wellsville</v>
      </c>
      <c r="C1" s="28"/>
      <c r="D1" s="28"/>
      <c r="E1" s="133">
        <f>inputPrYr!$C$6</f>
        <v>2024</v>
      </c>
    </row>
    <row r="2" spans="2:5" ht="15.75" x14ac:dyDescent="0.2">
      <c r="B2" s="28"/>
      <c r="C2" s="28"/>
      <c r="D2" s="28"/>
      <c r="E2" s="107"/>
    </row>
    <row r="3" spans="2:5" ht="15.75" x14ac:dyDescent="0.2">
      <c r="B3" s="161" t="s">
        <v>124</v>
      </c>
      <c r="C3" s="201"/>
      <c r="D3" s="201"/>
      <c r="E3" s="202"/>
    </row>
    <row r="4" spans="2:5" ht="15.75" x14ac:dyDescent="0.2">
      <c r="B4" s="29" t="s">
        <v>59</v>
      </c>
      <c r="C4" s="442" t="s">
        <v>479</v>
      </c>
      <c r="D4" s="443" t="s">
        <v>480</v>
      </c>
      <c r="E4" s="87" t="s">
        <v>481</v>
      </c>
    </row>
    <row r="5" spans="2:5" ht="15.75" x14ac:dyDescent="0.2">
      <c r="B5" s="332" t="str">
        <f>(inputPrYr!B52)</f>
        <v>Combined Sales Tax Improv</v>
      </c>
      <c r="C5" s="138" t="str">
        <f>CONCATENATE("Actual for ",E1-2,"")</f>
        <v>Actual for 2022</v>
      </c>
      <c r="D5" s="138" t="str">
        <f>CONCATENATE("Estimate for ",E1-1,"")</f>
        <v>Estimate for 2023</v>
      </c>
      <c r="E5" s="122" t="str">
        <f>CONCATENATE("Year for ",E1,"")</f>
        <v>Year for 2024</v>
      </c>
    </row>
    <row r="6" spans="2:5" ht="15.75" x14ac:dyDescent="0.2">
      <c r="B6" s="93" t="s">
        <v>137</v>
      </c>
      <c r="C6" s="168"/>
      <c r="D6" s="166">
        <f>C45</f>
        <v>0</v>
      </c>
      <c r="E6" s="141">
        <f>D45</f>
        <v>0</v>
      </c>
    </row>
    <row r="7" spans="2:5" ht="15.75" x14ac:dyDescent="0.2">
      <c r="B7" s="192" t="s">
        <v>139</v>
      </c>
      <c r="C7" s="102"/>
      <c r="D7" s="102"/>
      <c r="E7" s="52"/>
    </row>
    <row r="8" spans="2:5" ht="15.75" x14ac:dyDescent="0.2">
      <c r="B8" s="183"/>
      <c r="C8" s="168"/>
      <c r="D8" s="168"/>
      <c r="E8" s="171"/>
    </row>
    <row r="9" spans="2:5" ht="15.75" x14ac:dyDescent="0.2">
      <c r="B9" s="183"/>
      <c r="C9" s="168"/>
      <c r="D9" s="168"/>
      <c r="E9" s="171"/>
    </row>
    <row r="10" spans="2:5" ht="15.75" x14ac:dyDescent="0.2">
      <c r="B10" s="183"/>
      <c r="C10" s="168"/>
      <c r="D10" s="168"/>
      <c r="E10" s="171"/>
    </row>
    <row r="11" spans="2:5" ht="15.75" x14ac:dyDescent="0.2">
      <c r="B11" s="183"/>
      <c r="C11" s="168"/>
      <c r="D11" s="168"/>
      <c r="E11" s="171"/>
    </row>
    <row r="12" spans="2:5" ht="15.75" x14ac:dyDescent="0.2">
      <c r="B12" s="197"/>
      <c r="C12" s="168"/>
      <c r="D12" s="168"/>
      <c r="E12" s="66"/>
    </row>
    <row r="13" spans="2:5" ht="15.75" x14ac:dyDescent="0.2">
      <c r="B13" s="183"/>
      <c r="C13" s="168"/>
      <c r="D13" s="168"/>
      <c r="E13" s="171"/>
    </row>
    <row r="14" spans="2:5" ht="15.75" x14ac:dyDescent="0.2">
      <c r="B14" s="203" t="s">
        <v>67</v>
      </c>
      <c r="C14" s="168"/>
      <c r="D14" s="168"/>
      <c r="E14" s="171"/>
    </row>
    <row r="15" spans="2:5" ht="15.75" x14ac:dyDescent="0.2">
      <c r="B15" s="102" t="s">
        <v>9</v>
      </c>
      <c r="C15" s="168"/>
      <c r="D15" s="168"/>
      <c r="E15" s="171"/>
    </row>
    <row r="16" spans="2:5" ht="15.75" x14ac:dyDescent="0.2">
      <c r="B16" s="163" t="s">
        <v>352</v>
      </c>
      <c r="C16" s="173" t="str">
        <f>IF(C17*0.1&lt;C15,"Exceed 10% Rule","")</f>
        <v/>
      </c>
      <c r="D16" s="173" t="str">
        <f>IF(D17*0.1&lt;D15,"Exceed 10% Rule","")</f>
        <v/>
      </c>
      <c r="E16" s="204" t="str">
        <f>IF(E17*0.1&lt;E15,"Exceed 10% Rule","")</f>
        <v/>
      </c>
    </row>
    <row r="17" spans="2:5" ht="15.75" x14ac:dyDescent="0.2">
      <c r="B17" s="175" t="s">
        <v>68</v>
      </c>
      <c r="C17" s="177">
        <f>SUM(C8:C15)</f>
        <v>0</v>
      </c>
      <c r="D17" s="177">
        <f>SUM(D8:D15)</f>
        <v>0</v>
      </c>
      <c r="E17" s="178">
        <f>SUM(E8:E15)</f>
        <v>0</v>
      </c>
    </row>
    <row r="18" spans="2:5" ht="15.75" x14ac:dyDescent="0.2">
      <c r="B18" s="175" t="s">
        <v>69</v>
      </c>
      <c r="C18" s="177">
        <f>C6+C17</f>
        <v>0</v>
      </c>
      <c r="D18" s="177">
        <f>D6+D17</f>
        <v>0</v>
      </c>
      <c r="E18" s="178">
        <f>E6+E17</f>
        <v>0</v>
      </c>
    </row>
    <row r="19" spans="2:5" ht="15.75" x14ac:dyDescent="0.2">
      <c r="B19" s="93" t="s">
        <v>71</v>
      </c>
      <c r="C19" s="102"/>
      <c r="D19" s="102"/>
      <c r="E19" s="52"/>
    </row>
    <row r="20" spans="2:5" ht="15.75" x14ac:dyDescent="0.2">
      <c r="B20" s="183" t="s">
        <v>171</v>
      </c>
      <c r="C20" s="168"/>
      <c r="D20" s="168"/>
      <c r="E20" s="171"/>
    </row>
    <row r="21" spans="2:5" ht="15.75" x14ac:dyDescent="0.2">
      <c r="B21" s="183" t="s">
        <v>11</v>
      </c>
      <c r="C21" s="168"/>
      <c r="D21" s="168"/>
      <c r="E21" s="171"/>
    </row>
    <row r="22" spans="2:5" ht="15.75" x14ac:dyDescent="0.2">
      <c r="B22" s="183"/>
      <c r="C22" s="168"/>
      <c r="D22" s="168"/>
      <c r="E22" s="66"/>
    </row>
    <row r="23" spans="2:5" ht="15.75" x14ac:dyDescent="0.2">
      <c r="B23" s="183"/>
      <c r="C23" s="168"/>
      <c r="D23" s="168"/>
      <c r="E23" s="66"/>
    </row>
    <row r="24" spans="2:5" ht="15.75" x14ac:dyDescent="0.2">
      <c r="B24" s="183"/>
      <c r="C24" s="168"/>
      <c r="D24" s="168"/>
      <c r="E24" s="66"/>
    </row>
    <row r="25" spans="2:5" ht="15.75" x14ac:dyDescent="0.2">
      <c r="B25" s="183"/>
      <c r="C25" s="168"/>
      <c r="D25" s="168"/>
      <c r="E25" s="66"/>
    </row>
    <row r="26" spans="2:5" ht="15.75" x14ac:dyDescent="0.2">
      <c r="B26" s="183"/>
      <c r="C26" s="168"/>
      <c r="D26" s="168"/>
      <c r="E26" s="66"/>
    </row>
    <row r="27" spans="2:5" ht="15.75" x14ac:dyDescent="0.2">
      <c r="B27" s="183"/>
      <c r="C27" s="168"/>
      <c r="D27" s="168"/>
      <c r="E27" s="66"/>
    </row>
    <row r="28" spans="2:5" ht="15.75" x14ac:dyDescent="0.2">
      <c r="B28" s="183"/>
      <c r="C28" s="168"/>
      <c r="D28" s="168"/>
      <c r="E28" s="66"/>
    </row>
    <row r="29" spans="2:5" ht="15.75" x14ac:dyDescent="0.2">
      <c r="B29" s="183"/>
      <c r="C29" s="168"/>
      <c r="D29" s="168"/>
      <c r="E29" s="66"/>
    </row>
    <row r="30" spans="2:5" ht="15.75" x14ac:dyDescent="0.2">
      <c r="B30" s="183"/>
      <c r="C30" s="168"/>
      <c r="D30" s="168"/>
      <c r="E30" s="66"/>
    </row>
    <row r="31" spans="2:5" ht="15.75" x14ac:dyDescent="0.2">
      <c r="B31" s="183"/>
      <c r="C31" s="168"/>
      <c r="D31" s="168"/>
      <c r="E31" s="66"/>
    </row>
    <row r="32" spans="2:5" ht="15.75" x14ac:dyDescent="0.2">
      <c r="B32" s="183"/>
      <c r="C32" s="168"/>
      <c r="D32" s="168"/>
      <c r="E32" s="171"/>
    </row>
    <row r="33" spans="2:5" ht="15.75" x14ac:dyDescent="0.2">
      <c r="B33" s="183"/>
      <c r="C33" s="168"/>
      <c r="D33" s="168"/>
      <c r="E33" s="171"/>
    </row>
    <row r="34" spans="2:5" ht="15.75" x14ac:dyDescent="0.2">
      <c r="B34" s="183"/>
      <c r="C34" s="168"/>
      <c r="D34" s="168"/>
      <c r="E34" s="171"/>
    </row>
    <row r="35" spans="2:5" ht="15.75" x14ac:dyDescent="0.2">
      <c r="B35" s="183"/>
      <c r="C35" s="168"/>
      <c r="D35" s="168"/>
      <c r="E35" s="171"/>
    </row>
    <row r="36" spans="2:5" ht="15.75" x14ac:dyDescent="0.2">
      <c r="B36" s="183"/>
      <c r="C36" s="168"/>
      <c r="D36" s="168"/>
      <c r="E36" s="171"/>
    </row>
    <row r="37" spans="2:5" ht="15.75" x14ac:dyDescent="0.2">
      <c r="B37" s="183"/>
      <c r="C37" s="168"/>
      <c r="D37" s="168"/>
      <c r="E37" s="171"/>
    </row>
    <row r="38" spans="2:5" ht="15.75" x14ac:dyDescent="0.2">
      <c r="B38" s="183"/>
      <c r="C38" s="168"/>
      <c r="D38" s="168"/>
      <c r="E38" s="171"/>
    </row>
    <row r="39" spans="2:5" ht="15.75" x14ac:dyDescent="0.2">
      <c r="B39" s="183"/>
      <c r="C39" s="168"/>
      <c r="D39" s="168"/>
      <c r="E39" s="171"/>
    </row>
    <row r="40" spans="2:5" ht="15.75" x14ac:dyDescent="0.2">
      <c r="B40" s="183"/>
      <c r="C40" s="168"/>
      <c r="D40" s="168"/>
      <c r="E40" s="171"/>
    </row>
    <row r="41" spans="2:5" ht="15.75" x14ac:dyDescent="0.2">
      <c r="B41" s="184" t="str">
        <f>CONCATENATE("Cash Forward (",E1," column)")</f>
        <v>Cash Forward (2024 column)</v>
      </c>
      <c r="C41" s="168"/>
      <c r="D41" s="168"/>
      <c r="E41" s="171"/>
    </row>
    <row r="42" spans="2:5" ht="15.75" x14ac:dyDescent="0.2">
      <c r="B42" s="184" t="s">
        <v>9</v>
      </c>
      <c r="C42" s="168"/>
      <c r="D42" s="168"/>
      <c r="E42" s="171"/>
    </row>
    <row r="43" spans="2:5" ht="15.75" x14ac:dyDescent="0.2">
      <c r="B43" s="184" t="s">
        <v>353</v>
      </c>
      <c r="C43" s="173" t="str">
        <f>IF(C44*0.1&lt;C42,"Exceed 10% Rule","")</f>
        <v/>
      </c>
      <c r="D43" s="173" t="str">
        <f>IF(D44*0.1&lt;D42,"Exceed 10% Rule","")</f>
        <v/>
      </c>
      <c r="E43" s="204" t="str">
        <f>IF(E44*0.1&lt;E42,"Exceed 10% Rule","")</f>
        <v/>
      </c>
    </row>
    <row r="44" spans="2:5" ht="15.75" x14ac:dyDescent="0.2">
      <c r="B44" s="175" t="s">
        <v>75</v>
      </c>
      <c r="C44" s="177">
        <f>SUM(C20:C42)</f>
        <v>0</v>
      </c>
      <c r="D44" s="177">
        <f>SUM(D20:D42)</f>
        <v>0</v>
      </c>
      <c r="E44" s="178">
        <f>SUM(E20:E42)</f>
        <v>0</v>
      </c>
    </row>
    <row r="45" spans="2:5" ht="15.75" x14ac:dyDescent="0.2">
      <c r="B45" s="93" t="s">
        <v>138</v>
      </c>
      <c r="C45" s="181">
        <f>C18-C44</f>
        <v>0</v>
      </c>
      <c r="D45" s="181">
        <f>D18-D44</f>
        <v>0</v>
      </c>
      <c r="E45" s="50">
        <f>E18-E44</f>
        <v>0</v>
      </c>
    </row>
    <row r="46" spans="2:5" ht="15.75" x14ac:dyDescent="0.2">
      <c r="B46" s="108" t="str">
        <f>CONCATENATE("",E1-2,"/",E1-1,"/",E1," Budget Authority Amount:")</f>
        <v>2022/2023/2024 Budget Authority Amount:</v>
      </c>
      <c r="C46" s="446">
        <f>inputOth!B94</f>
        <v>235000</v>
      </c>
      <c r="D46" s="446">
        <f>inputPrYr!D52</f>
        <v>253700</v>
      </c>
      <c r="E46" s="458">
        <f>E44</f>
        <v>0</v>
      </c>
    </row>
    <row r="47" spans="2:5" ht="15.75" x14ac:dyDescent="0.2">
      <c r="B47" s="80"/>
      <c r="C47" s="186" t="str">
        <f>IF(C44&gt;C46,"See Tab A","")</f>
        <v/>
      </c>
      <c r="D47" s="186" t="str">
        <f>IF(D44&gt;D46,"See Tab C","")</f>
        <v/>
      </c>
      <c r="E47" s="459" t="str">
        <f>IF(E45&lt;0,"See Tab E","")</f>
        <v/>
      </c>
    </row>
    <row r="48" spans="2:5" ht="15.75" x14ac:dyDescent="0.2">
      <c r="B48" s="539" t="s">
        <v>539</v>
      </c>
      <c r="C48" s="528" t="str">
        <f>IF(C45&lt;0,"See Tab B","")</f>
        <v/>
      </c>
      <c r="D48" s="528" t="str">
        <f>IF(D45&lt;0,"See Tab D","")</f>
        <v/>
      </c>
      <c r="E48" s="532"/>
    </row>
    <row r="49" spans="2:5" ht="15.75" x14ac:dyDescent="0.2">
      <c r="B49" s="529"/>
      <c r="C49" s="186"/>
      <c r="D49" s="186"/>
      <c r="E49" s="533"/>
    </row>
    <row r="50" spans="2:5" ht="15.75" x14ac:dyDescent="0.2">
      <c r="B50" s="530"/>
      <c r="C50" s="531"/>
      <c r="D50" s="531"/>
      <c r="E50" s="73"/>
    </row>
    <row r="51" spans="2:5" x14ac:dyDescent="0.2">
      <c r="B51" s="40"/>
      <c r="C51" s="40"/>
      <c r="D51" s="40"/>
      <c r="E51" s="40"/>
    </row>
    <row r="52" spans="2:5" ht="15.75" x14ac:dyDescent="0.2">
      <c r="B52" s="272" t="s">
        <v>78</v>
      </c>
      <c r="C52" s="464"/>
      <c r="D52" s="40"/>
      <c r="E52" s="40"/>
    </row>
  </sheetData>
  <sheetProtection sheet="1" objects="1" scenarios="1"/>
  <phoneticPr fontId="8" type="noConversion"/>
  <conditionalFormatting sqref="C15">
    <cfRule type="cellIs" dxfId="34" priority="2" stopIfTrue="1" operator="greaterThan">
      <formula>$C$17*0.1</formula>
    </cfRule>
  </conditionalFormatting>
  <conditionalFormatting sqref="C42">
    <cfRule type="cellIs" dxfId="33" priority="7" stopIfTrue="1" operator="greaterThan">
      <formula>$C$44*0.1</formula>
    </cfRule>
  </conditionalFormatting>
  <conditionalFormatting sqref="C44">
    <cfRule type="cellIs" dxfId="32" priority="10" stopIfTrue="1" operator="greaterThan">
      <formula>$C$46</formula>
    </cfRule>
  </conditionalFormatting>
  <conditionalFormatting sqref="C45">
    <cfRule type="cellIs" dxfId="31" priority="11" stopIfTrue="1" operator="lessThan">
      <formula>0</formula>
    </cfRule>
  </conditionalFormatting>
  <conditionalFormatting sqref="D15">
    <cfRule type="cellIs" dxfId="30" priority="3" stopIfTrue="1" operator="greaterThan">
      <formula>$D$17*0.1</formula>
    </cfRule>
  </conditionalFormatting>
  <conditionalFormatting sqref="D42">
    <cfRule type="cellIs" dxfId="29" priority="8" stopIfTrue="1" operator="greaterThan">
      <formula>$D$44*0.1</formula>
    </cfRule>
  </conditionalFormatting>
  <conditionalFormatting sqref="D44">
    <cfRule type="cellIs" dxfId="28" priority="9" stopIfTrue="1" operator="greaterThan">
      <formula>$D$46</formula>
    </cfRule>
  </conditionalFormatting>
  <conditionalFormatting sqref="D45">
    <cfRule type="cellIs" dxfId="27" priority="4" stopIfTrue="1" operator="lessThan">
      <formula>0</formula>
    </cfRule>
  </conditionalFormatting>
  <conditionalFormatting sqref="E15">
    <cfRule type="cellIs" dxfId="26" priority="5" stopIfTrue="1" operator="greaterThan">
      <formula>$E$17*0.1</formula>
    </cfRule>
  </conditionalFormatting>
  <conditionalFormatting sqref="E42">
    <cfRule type="cellIs" dxfId="25" priority="6" stopIfTrue="1" operator="greaterThan">
      <formula>$E$44*0.1</formula>
    </cfRule>
  </conditionalFormatting>
  <conditionalFormatting sqref="E45:E46">
    <cfRule type="cellIs" dxfId="24"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52"/>
  <sheetViews>
    <sheetView workbookViewId="0">
      <selection activeCell="F1" sqref="F1"/>
    </sheetView>
  </sheetViews>
  <sheetFormatPr defaultColWidth="8.88671875" defaultRowHeight="15" x14ac:dyDescent="0.2"/>
  <cols>
    <col min="1" max="1" width="2.44140625" style="64" customWidth="1"/>
    <col min="2" max="2" width="31.109375" style="64" customWidth="1"/>
    <col min="3" max="4" width="15.77734375" style="64" customWidth="1"/>
    <col min="5" max="5" width="16.21875" style="64" customWidth="1"/>
    <col min="6" max="16384" width="8.88671875" style="64"/>
  </cols>
  <sheetData>
    <row r="1" spans="2:5" ht="15.75" x14ac:dyDescent="0.2">
      <c r="B1" s="47" t="str">
        <f>(inputPrYr!D3)</f>
        <v>Wellsville</v>
      </c>
      <c r="C1" s="28"/>
      <c r="D1" s="28"/>
      <c r="E1" s="133">
        <f>inputPrYr!$C$6</f>
        <v>2024</v>
      </c>
    </row>
    <row r="2" spans="2:5" ht="15.75" x14ac:dyDescent="0.2">
      <c r="B2" s="28"/>
      <c r="C2" s="28"/>
      <c r="D2" s="28"/>
      <c r="E2" s="107"/>
    </row>
    <row r="3" spans="2:5" ht="15.75" x14ac:dyDescent="0.2">
      <c r="B3" s="161" t="s">
        <v>124</v>
      </c>
      <c r="C3" s="201"/>
      <c r="D3" s="201"/>
      <c r="E3" s="202"/>
    </row>
    <row r="4" spans="2:5" ht="15.75" x14ac:dyDescent="0.2">
      <c r="B4" s="29" t="s">
        <v>59</v>
      </c>
      <c r="C4" s="442" t="s">
        <v>479</v>
      </c>
      <c r="D4" s="443" t="s">
        <v>480</v>
      </c>
      <c r="E4" s="87" t="s">
        <v>481</v>
      </c>
    </row>
    <row r="5" spans="2:5" ht="15.75" x14ac:dyDescent="0.2">
      <c r="B5" s="332" t="str">
        <f>(inputPrYr!B53)</f>
        <v>Community Enhanc Sales Tax</v>
      </c>
      <c r="C5" s="138" t="str">
        <f>CONCATENATE("Actual for ",E1-2,"")</f>
        <v>Actual for 2022</v>
      </c>
      <c r="D5" s="138" t="str">
        <f>CONCATENATE("Estimate for ",E1-1,"")</f>
        <v>Estimate for 2023</v>
      </c>
      <c r="E5" s="122" t="str">
        <f>CONCATENATE("Year for ",E1,"")</f>
        <v>Year for 2024</v>
      </c>
    </row>
    <row r="6" spans="2:5" ht="15.75" x14ac:dyDescent="0.2">
      <c r="B6" s="93" t="s">
        <v>137</v>
      </c>
      <c r="C6" s="39"/>
      <c r="D6" s="141">
        <f>C45</f>
        <v>0</v>
      </c>
      <c r="E6" s="141">
        <f>D45</f>
        <v>0</v>
      </c>
    </row>
    <row r="7" spans="2:5" ht="15.75" x14ac:dyDescent="0.2">
      <c r="B7" s="192" t="s">
        <v>139</v>
      </c>
      <c r="C7" s="52"/>
      <c r="D7" s="52"/>
      <c r="E7" s="52"/>
    </row>
    <row r="8" spans="2:5" ht="15.75" x14ac:dyDescent="0.2">
      <c r="B8" s="183"/>
      <c r="C8" s="171"/>
      <c r="D8" s="171"/>
      <c r="E8" s="171"/>
    </row>
    <row r="9" spans="2:5" ht="15.75" x14ac:dyDescent="0.2">
      <c r="B9" s="183"/>
      <c r="C9" s="171"/>
      <c r="D9" s="171"/>
      <c r="E9" s="171"/>
    </row>
    <row r="10" spans="2:5" ht="15.75" x14ac:dyDescent="0.2">
      <c r="B10" s="183"/>
      <c r="C10" s="171"/>
      <c r="D10" s="171"/>
      <c r="E10" s="171"/>
    </row>
    <row r="11" spans="2:5" ht="15.75" x14ac:dyDescent="0.2">
      <c r="B11" s="183"/>
      <c r="C11" s="171"/>
      <c r="D11" s="171"/>
      <c r="E11" s="171"/>
    </row>
    <row r="12" spans="2:5" ht="15.75" x14ac:dyDescent="0.2">
      <c r="B12" s="183"/>
      <c r="C12" s="171"/>
      <c r="D12" s="171"/>
      <c r="E12" s="171"/>
    </row>
    <row r="13" spans="2:5" ht="15.75" x14ac:dyDescent="0.2">
      <c r="B13" s="197"/>
      <c r="C13" s="66"/>
      <c r="D13" s="66"/>
      <c r="E13" s="66"/>
    </row>
    <row r="14" spans="2:5" ht="15.75" x14ac:dyDescent="0.2">
      <c r="B14" s="183"/>
      <c r="C14" s="171"/>
      <c r="D14" s="171"/>
      <c r="E14" s="171"/>
    </row>
    <row r="15" spans="2:5" ht="15.75" x14ac:dyDescent="0.2">
      <c r="B15" s="203" t="s">
        <v>67</v>
      </c>
      <c r="C15" s="171"/>
      <c r="D15" s="171"/>
      <c r="E15" s="171"/>
    </row>
    <row r="16" spans="2:5" ht="15.75" x14ac:dyDescent="0.2">
      <c r="B16" s="102" t="s">
        <v>9</v>
      </c>
      <c r="C16" s="171"/>
      <c r="D16" s="165"/>
      <c r="E16" s="165"/>
    </row>
    <row r="17" spans="2:5" ht="15.75" x14ac:dyDescent="0.2">
      <c r="B17" s="163" t="s">
        <v>352</v>
      </c>
      <c r="C17" s="204" t="str">
        <f>IF(C18*0.1&lt;C16,"Exceed 10% Rule","")</f>
        <v/>
      </c>
      <c r="D17" s="174" t="str">
        <f>IF(D18*0.1&lt;D16,"Exceed 10% Rule","")</f>
        <v/>
      </c>
      <c r="E17" s="174" t="str">
        <f>IF(E18*0.1&lt;E16,"Exceed 10% Rule","")</f>
        <v/>
      </c>
    </row>
    <row r="18" spans="2:5" ht="15.75" x14ac:dyDescent="0.2">
      <c r="B18" s="175" t="s">
        <v>68</v>
      </c>
      <c r="C18" s="178">
        <f>SUM(C8:C16)</f>
        <v>0</v>
      </c>
      <c r="D18" s="178">
        <f>SUM(D8:D16)</f>
        <v>0</v>
      </c>
      <c r="E18" s="178">
        <f>SUM(E8:E16)</f>
        <v>0</v>
      </c>
    </row>
    <row r="19" spans="2:5" ht="15.75" x14ac:dyDescent="0.2">
      <c r="B19" s="175" t="s">
        <v>69</v>
      </c>
      <c r="C19" s="178">
        <f>C6+C18</f>
        <v>0</v>
      </c>
      <c r="D19" s="178">
        <f>D6+D18</f>
        <v>0</v>
      </c>
      <c r="E19" s="178">
        <f>E6+E18</f>
        <v>0</v>
      </c>
    </row>
    <row r="20" spans="2:5" ht="15.75" x14ac:dyDescent="0.2">
      <c r="B20" s="93" t="s">
        <v>71</v>
      </c>
      <c r="C20" s="52"/>
      <c r="D20" s="52"/>
      <c r="E20" s="52"/>
    </row>
    <row r="21" spans="2:5" ht="15.75" x14ac:dyDescent="0.2">
      <c r="B21" s="183" t="s">
        <v>171</v>
      </c>
      <c r="C21" s="171"/>
      <c r="D21" s="171"/>
      <c r="E21" s="171"/>
    </row>
    <row r="22" spans="2:5" ht="15.75" x14ac:dyDescent="0.2">
      <c r="B22" s="183" t="s">
        <v>12</v>
      </c>
      <c r="C22" s="171"/>
      <c r="D22" s="171"/>
      <c r="E22" s="171"/>
    </row>
    <row r="23" spans="2:5" ht="15.75" x14ac:dyDescent="0.2">
      <c r="B23" s="183"/>
      <c r="C23" s="66"/>
      <c r="D23" s="66"/>
      <c r="E23" s="66"/>
    </row>
    <row r="24" spans="2:5" ht="15.75" x14ac:dyDescent="0.2">
      <c r="B24" s="183"/>
      <c r="C24" s="66"/>
      <c r="D24" s="66"/>
      <c r="E24" s="66"/>
    </row>
    <row r="25" spans="2:5" ht="15.75" x14ac:dyDescent="0.2">
      <c r="B25" s="183"/>
      <c r="C25" s="66"/>
      <c r="D25" s="66"/>
      <c r="E25" s="66"/>
    </row>
    <row r="26" spans="2:5" ht="15.75" x14ac:dyDescent="0.2">
      <c r="B26" s="183"/>
      <c r="C26" s="66"/>
      <c r="D26" s="66"/>
      <c r="E26" s="66"/>
    </row>
    <row r="27" spans="2:5" ht="15.75" x14ac:dyDescent="0.2">
      <c r="B27" s="183"/>
      <c r="C27" s="66"/>
      <c r="D27" s="66"/>
      <c r="E27" s="66"/>
    </row>
    <row r="28" spans="2:5" ht="15.75" x14ac:dyDescent="0.2">
      <c r="B28" s="183"/>
      <c r="C28" s="66"/>
      <c r="D28" s="66"/>
      <c r="E28" s="66"/>
    </row>
    <row r="29" spans="2:5" ht="15.75" x14ac:dyDescent="0.2">
      <c r="B29" s="183"/>
      <c r="C29" s="66"/>
      <c r="D29" s="66"/>
      <c r="E29" s="66"/>
    </row>
    <row r="30" spans="2:5" ht="15.75" x14ac:dyDescent="0.2">
      <c r="B30" s="183"/>
      <c r="C30" s="66"/>
      <c r="D30" s="66"/>
      <c r="E30" s="66"/>
    </row>
    <row r="31" spans="2:5" ht="15.75" x14ac:dyDescent="0.2">
      <c r="B31" s="183"/>
      <c r="C31" s="66"/>
      <c r="D31" s="66"/>
      <c r="E31" s="66"/>
    </row>
    <row r="32" spans="2:5" ht="15.75" x14ac:dyDescent="0.2">
      <c r="B32" s="183"/>
      <c r="C32" s="171"/>
      <c r="D32" s="171"/>
      <c r="E32" s="171"/>
    </row>
    <row r="33" spans="2:5" ht="15.75" x14ac:dyDescent="0.2">
      <c r="B33" s="183"/>
      <c r="C33" s="171"/>
      <c r="D33" s="171"/>
      <c r="E33" s="171"/>
    </row>
    <row r="34" spans="2:5" ht="15.75" x14ac:dyDescent="0.2">
      <c r="B34" s="183"/>
      <c r="C34" s="171"/>
      <c r="D34" s="171"/>
      <c r="E34" s="171"/>
    </row>
    <row r="35" spans="2:5" ht="15.75" x14ac:dyDescent="0.2">
      <c r="B35" s="183"/>
      <c r="C35" s="171"/>
      <c r="D35" s="171"/>
      <c r="E35" s="171"/>
    </row>
    <row r="36" spans="2:5" ht="15.75" x14ac:dyDescent="0.2">
      <c r="B36" s="183"/>
      <c r="C36" s="171"/>
      <c r="D36" s="171"/>
      <c r="E36" s="171"/>
    </row>
    <row r="37" spans="2:5" ht="15.75" x14ac:dyDescent="0.2">
      <c r="B37" s="183"/>
      <c r="C37" s="171"/>
      <c r="D37" s="171"/>
      <c r="E37" s="171"/>
    </row>
    <row r="38" spans="2:5" ht="15.75" x14ac:dyDescent="0.2">
      <c r="B38" s="183"/>
      <c r="C38" s="171"/>
      <c r="D38" s="171"/>
      <c r="E38" s="171"/>
    </row>
    <row r="39" spans="2:5" ht="15.75" x14ac:dyDescent="0.2">
      <c r="B39" s="183"/>
      <c r="C39" s="171"/>
      <c r="D39" s="171"/>
      <c r="E39" s="171"/>
    </row>
    <row r="40" spans="2:5" ht="15.75" x14ac:dyDescent="0.2">
      <c r="B40" s="183"/>
      <c r="C40" s="171"/>
      <c r="D40" s="171"/>
      <c r="E40" s="171"/>
    </row>
    <row r="41" spans="2:5" ht="15.75" x14ac:dyDescent="0.2">
      <c r="B41" s="184" t="str">
        <f>CONCATENATE("Cash Forward (",E1," column)")</f>
        <v>Cash Forward (2024 column)</v>
      </c>
      <c r="C41" s="171"/>
      <c r="D41" s="171"/>
      <c r="E41" s="171"/>
    </row>
    <row r="42" spans="2:5" ht="15.75" x14ac:dyDescent="0.2">
      <c r="B42" s="184" t="s">
        <v>9</v>
      </c>
      <c r="C42" s="171"/>
      <c r="D42" s="165"/>
      <c r="E42" s="165"/>
    </row>
    <row r="43" spans="2:5" ht="15.75" x14ac:dyDescent="0.2">
      <c r="B43" s="184" t="s">
        <v>353</v>
      </c>
      <c r="C43" s="204" t="str">
        <f>IF(C44*0.1&lt;C42,"Exceed 10% Rule","")</f>
        <v/>
      </c>
      <c r="D43" s="174" t="str">
        <f>IF(D44*0.1&lt;D42,"Exceed 10% Rule","")</f>
        <v/>
      </c>
      <c r="E43" s="174" t="str">
        <f>IF(E44*0.1&lt;E42,"Exceed 10% Rule","")</f>
        <v/>
      </c>
    </row>
    <row r="44" spans="2:5" ht="15.75" x14ac:dyDescent="0.2">
      <c r="B44" s="175" t="s">
        <v>75</v>
      </c>
      <c r="C44" s="178">
        <f>SUM(C21:C42)</f>
        <v>0</v>
      </c>
      <c r="D44" s="178">
        <f>SUM(D21:D42)</f>
        <v>0</v>
      </c>
      <c r="E44" s="178">
        <f>SUM(E21:E42)</f>
        <v>0</v>
      </c>
    </row>
    <row r="45" spans="2:5" ht="15.75" x14ac:dyDescent="0.2">
      <c r="B45" s="93" t="s">
        <v>138</v>
      </c>
      <c r="C45" s="50">
        <f>C19-C44</f>
        <v>0</v>
      </c>
      <c r="D45" s="50">
        <f>D19-D44</f>
        <v>0</v>
      </c>
      <c r="E45" s="50">
        <f>E19-E44</f>
        <v>0</v>
      </c>
    </row>
    <row r="46" spans="2:5" ht="15.75" x14ac:dyDescent="0.2">
      <c r="B46" s="108" t="str">
        <f>CONCATENATE("",E1-2,"/",E1-1,"/",E1," Budget Authority Amount:")</f>
        <v>2022/2023/2024 Budget Authority Amount:</v>
      </c>
      <c r="C46" s="446">
        <f>inputOth!B95</f>
        <v>192000</v>
      </c>
      <c r="D46" s="446">
        <f>inputPrYr!D53</f>
        <v>261289</v>
      </c>
      <c r="E46" s="458">
        <f>E44</f>
        <v>0</v>
      </c>
    </row>
    <row r="47" spans="2:5" ht="15.75" x14ac:dyDescent="0.2">
      <c r="B47" s="80"/>
      <c r="C47" s="186" t="str">
        <f>IF(C44&gt;C46,"See Tab A","")</f>
        <v/>
      </c>
      <c r="D47" s="186" t="str">
        <f>IF(D44&gt;D46,"See Tab C","")</f>
        <v/>
      </c>
      <c r="E47" s="459" t="str">
        <f>IF(E45&lt;0,"See Tab E","")</f>
        <v/>
      </c>
    </row>
    <row r="48" spans="2:5" ht="15.75" x14ac:dyDescent="0.2">
      <c r="B48" s="539" t="s">
        <v>539</v>
      </c>
      <c r="C48" s="528" t="str">
        <f>IF(C45&lt;0,"See Tab B","")</f>
        <v/>
      </c>
      <c r="D48" s="528" t="str">
        <f>IF(D45&lt;0,"See Tab D","")</f>
        <v/>
      </c>
      <c r="E48" s="532"/>
    </row>
    <row r="49" spans="2:5" ht="15.75" x14ac:dyDescent="0.2">
      <c r="B49" s="529"/>
      <c r="C49" s="186"/>
      <c r="D49" s="186"/>
      <c r="E49" s="533"/>
    </row>
    <row r="50" spans="2:5" ht="15.75" x14ac:dyDescent="0.2">
      <c r="B50" s="530"/>
      <c r="C50" s="531"/>
      <c r="D50" s="531"/>
      <c r="E50" s="73"/>
    </row>
    <row r="51" spans="2:5" x14ac:dyDescent="0.2">
      <c r="B51" s="40"/>
      <c r="C51" s="40"/>
      <c r="D51" s="40"/>
      <c r="E51" s="40"/>
    </row>
    <row r="52" spans="2:5" ht="15.75" x14ac:dyDescent="0.2">
      <c r="B52" s="272" t="s">
        <v>78</v>
      </c>
      <c r="C52" s="464"/>
      <c r="D52" s="40"/>
      <c r="E52" s="40"/>
    </row>
  </sheetData>
  <sheetProtection sheet="1" objects="1" scenarios="1"/>
  <phoneticPr fontId="8" type="noConversion"/>
  <conditionalFormatting sqref="C16">
    <cfRule type="cellIs" dxfId="23" priority="7" stopIfTrue="1" operator="greaterThan">
      <formula>$C$18*0.1</formula>
    </cfRule>
  </conditionalFormatting>
  <conditionalFormatting sqref="C42">
    <cfRule type="cellIs" dxfId="22" priority="8" stopIfTrue="1" operator="greaterThan">
      <formula>$C$44*0.1</formula>
    </cfRule>
  </conditionalFormatting>
  <conditionalFormatting sqref="C44">
    <cfRule type="cellIs" dxfId="21" priority="10" stopIfTrue="1" operator="greaterThan">
      <formula>$C$46</formula>
    </cfRule>
  </conditionalFormatting>
  <conditionalFormatting sqref="C45">
    <cfRule type="cellIs" dxfId="20" priority="11" stopIfTrue="1" operator="lessThan">
      <formula>0</formula>
    </cfRule>
  </conditionalFormatting>
  <conditionalFormatting sqref="D16">
    <cfRule type="cellIs" dxfId="19" priority="5" stopIfTrue="1" operator="greaterThan">
      <formula>$D$18*0.1</formula>
    </cfRule>
  </conditionalFormatting>
  <conditionalFormatting sqref="D42">
    <cfRule type="cellIs" dxfId="18" priority="6" stopIfTrue="1" operator="greaterThan">
      <formula>$D$44*0.1</formula>
    </cfRule>
  </conditionalFormatting>
  <conditionalFormatting sqref="D44">
    <cfRule type="cellIs" dxfId="17" priority="9" stopIfTrue="1" operator="greaterThan">
      <formula>$D$46</formula>
    </cfRule>
  </conditionalFormatting>
  <conditionalFormatting sqref="D45">
    <cfRule type="cellIs" dxfId="16" priority="2" stopIfTrue="1" operator="lessThan">
      <formula>0</formula>
    </cfRule>
  </conditionalFormatting>
  <conditionalFormatting sqref="E16">
    <cfRule type="cellIs" dxfId="15" priority="3" stopIfTrue="1" operator="greaterThan">
      <formula>$E$18*0.1</formula>
    </cfRule>
  </conditionalFormatting>
  <conditionalFormatting sqref="E42">
    <cfRule type="cellIs" dxfId="14" priority="4" stopIfTrue="1" operator="greaterThan">
      <formula>$E$44*0.1</formula>
    </cfRule>
  </conditionalFormatting>
  <conditionalFormatting sqref="E45:E46">
    <cfRule type="cellIs" dxfId="13"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52"/>
  <sheetViews>
    <sheetView workbookViewId="0">
      <selection activeCell="F1" sqref="F1"/>
    </sheetView>
  </sheetViews>
  <sheetFormatPr defaultColWidth="8.88671875" defaultRowHeight="15" x14ac:dyDescent="0.2"/>
  <cols>
    <col min="1" max="1" width="2.44140625" style="64" customWidth="1"/>
    <col min="2" max="2" width="31.109375" style="64" customWidth="1"/>
    <col min="3" max="4" width="15.77734375" style="64" customWidth="1"/>
    <col min="5" max="5" width="16.44140625" style="64" customWidth="1"/>
    <col min="6" max="16384" width="8.88671875" style="64"/>
  </cols>
  <sheetData>
    <row r="1" spans="2:5" ht="15.75" x14ac:dyDescent="0.2">
      <c r="B1" s="47" t="str">
        <f>(inputPrYr!D3)</f>
        <v>Wellsville</v>
      </c>
      <c r="C1" s="28"/>
      <c r="D1" s="28"/>
      <c r="E1" s="133">
        <f>inputPrYr!$C$6</f>
        <v>2024</v>
      </c>
    </row>
    <row r="2" spans="2:5" ht="15.75" x14ac:dyDescent="0.2">
      <c r="B2" s="28"/>
      <c r="C2" s="28"/>
      <c r="D2" s="28"/>
      <c r="E2" s="107"/>
    </row>
    <row r="3" spans="2:5" ht="15.75" x14ac:dyDescent="0.2">
      <c r="B3" s="161" t="s">
        <v>124</v>
      </c>
      <c r="C3" s="201"/>
      <c r="D3" s="201"/>
      <c r="E3" s="202"/>
    </row>
    <row r="4" spans="2:5" ht="15.75" x14ac:dyDescent="0.2">
      <c r="B4" s="29" t="s">
        <v>59</v>
      </c>
      <c r="C4" s="442" t="s">
        <v>479</v>
      </c>
      <c r="D4" s="443" t="s">
        <v>480</v>
      </c>
      <c r="E4" s="87" t="s">
        <v>481</v>
      </c>
    </row>
    <row r="5" spans="2:5" ht="15.75" x14ac:dyDescent="0.2">
      <c r="B5" s="332" t="str">
        <f>(inputPrYr!B54)</f>
        <v>Water/Sewer/Refuse Utitly</v>
      </c>
      <c r="C5" s="138" t="str">
        <f>CONCATENATE("Actual for ",E1-2,"")</f>
        <v>Actual for 2022</v>
      </c>
      <c r="D5" s="138" t="str">
        <f>CONCATENATE("Estimate for ",E1-1,"")</f>
        <v>Estimate for 2023</v>
      </c>
      <c r="E5" s="122" t="str">
        <f>CONCATENATE("Year for ",E1,"")</f>
        <v>Year for 2024</v>
      </c>
    </row>
    <row r="6" spans="2:5" ht="15.75" x14ac:dyDescent="0.2">
      <c r="B6" s="93" t="s">
        <v>137</v>
      </c>
      <c r="C6" s="168"/>
      <c r="D6" s="166">
        <f>C45</f>
        <v>0</v>
      </c>
      <c r="E6" s="141">
        <f>D45</f>
        <v>0</v>
      </c>
    </row>
    <row r="7" spans="2:5" ht="15.75" x14ac:dyDescent="0.2">
      <c r="B7" s="192" t="s">
        <v>139</v>
      </c>
      <c r="C7" s="102"/>
      <c r="D7" s="102"/>
      <c r="E7" s="52"/>
    </row>
    <row r="8" spans="2:5" ht="15.75" x14ac:dyDescent="0.2">
      <c r="B8" s="183"/>
      <c r="C8" s="168"/>
      <c r="D8" s="168"/>
      <c r="E8" s="171"/>
    </row>
    <row r="9" spans="2:5" ht="15.75" x14ac:dyDescent="0.2">
      <c r="B9" s="183"/>
      <c r="C9" s="168"/>
      <c r="D9" s="168"/>
      <c r="E9" s="171"/>
    </row>
    <row r="10" spans="2:5" ht="15.75" x14ac:dyDescent="0.2">
      <c r="B10" s="183"/>
      <c r="C10" s="168"/>
      <c r="D10" s="168"/>
      <c r="E10" s="171"/>
    </row>
    <row r="11" spans="2:5" ht="15.75" x14ac:dyDescent="0.2">
      <c r="B11" s="183"/>
      <c r="C11" s="168"/>
      <c r="D11" s="168"/>
      <c r="E11" s="171"/>
    </row>
    <row r="12" spans="2:5" ht="15.75" x14ac:dyDescent="0.2">
      <c r="B12" s="183"/>
      <c r="C12" s="168"/>
      <c r="D12" s="168"/>
      <c r="E12" s="171"/>
    </row>
    <row r="13" spans="2:5" ht="15.75" x14ac:dyDescent="0.2">
      <c r="B13" s="197"/>
      <c r="C13" s="168"/>
      <c r="D13" s="168"/>
      <c r="E13" s="66"/>
    </row>
    <row r="14" spans="2:5" ht="15.75" x14ac:dyDescent="0.2">
      <c r="B14" s="183"/>
      <c r="C14" s="168"/>
      <c r="D14" s="168"/>
      <c r="E14" s="171"/>
    </row>
    <row r="15" spans="2:5" ht="15.75" x14ac:dyDescent="0.2">
      <c r="B15" s="203" t="s">
        <v>67</v>
      </c>
      <c r="C15" s="168"/>
      <c r="D15" s="168"/>
      <c r="E15" s="171"/>
    </row>
    <row r="16" spans="2:5" ht="15.75" x14ac:dyDescent="0.2">
      <c r="B16" s="102" t="s">
        <v>9</v>
      </c>
      <c r="C16" s="168"/>
      <c r="D16" s="168"/>
      <c r="E16" s="171"/>
    </row>
    <row r="17" spans="2:5" ht="15.75" x14ac:dyDescent="0.2">
      <c r="B17" s="163" t="s">
        <v>352</v>
      </c>
      <c r="C17" s="173" t="str">
        <f>IF(C18*0.1&lt;C16,"Exceed 10% Rule","")</f>
        <v/>
      </c>
      <c r="D17" s="173" t="str">
        <f>IF(D18*0.1&lt;D16,"Exceed 10% Rule","")</f>
        <v/>
      </c>
      <c r="E17" s="204" t="str">
        <f>IF(E18*0.1&lt;E16,"Exceed 10% Rule","")</f>
        <v/>
      </c>
    </row>
    <row r="18" spans="2:5" ht="15.75" x14ac:dyDescent="0.2">
      <c r="B18" s="175" t="s">
        <v>68</v>
      </c>
      <c r="C18" s="177">
        <f>SUM(C8:C16)</f>
        <v>0</v>
      </c>
      <c r="D18" s="177">
        <f>SUM(D8:D16)</f>
        <v>0</v>
      </c>
      <c r="E18" s="178">
        <f>SUM(E8:E16)</f>
        <v>0</v>
      </c>
    </row>
    <row r="19" spans="2:5" ht="15.75" x14ac:dyDescent="0.2">
      <c r="B19" s="175" t="s">
        <v>69</v>
      </c>
      <c r="C19" s="177">
        <f>C6+C18</f>
        <v>0</v>
      </c>
      <c r="D19" s="177">
        <f>D6+D18</f>
        <v>0</v>
      </c>
      <c r="E19" s="178">
        <f>E6+E18</f>
        <v>0</v>
      </c>
    </row>
    <row r="20" spans="2:5" ht="15.75" x14ac:dyDescent="0.2">
      <c r="B20" s="93" t="s">
        <v>71</v>
      </c>
      <c r="C20" s="102"/>
      <c r="D20" s="102"/>
      <c r="E20" s="52"/>
    </row>
    <row r="21" spans="2:5" ht="15.75" x14ac:dyDescent="0.2">
      <c r="B21" s="183" t="s">
        <v>171</v>
      </c>
      <c r="C21" s="168"/>
      <c r="D21" s="168"/>
      <c r="E21" s="171"/>
    </row>
    <row r="22" spans="2:5" ht="15.75" x14ac:dyDescent="0.2">
      <c r="B22" s="183" t="s">
        <v>11</v>
      </c>
      <c r="C22" s="168"/>
      <c r="D22" s="168"/>
      <c r="E22" s="171"/>
    </row>
    <row r="23" spans="2:5" ht="15.75" x14ac:dyDescent="0.2">
      <c r="B23" s="183"/>
      <c r="C23" s="168"/>
      <c r="D23" s="168"/>
      <c r="E23" s="66"/>
    </row>
    <row r="24" spans="2:5" ht="15.75" x14ac:dyDescent="0.2">
      <c r="B24" s="183"/>
      <c r="C24" s="168"/>
      <c r="D24" s="168"/>
      <c r="E24" s="66"/>
    </row>
    <row r="25" spans="2:5" ht="15.75" x14ac:dyDescent="0.2">
      <c r="B25" s="183"/>
      <c r="C25" s="168"/>
      <c r="D25" s="168"/>
      <c r="E25" s="66"/>
    </row>
    <row r="26" spans="2:5" ht="15.75" x14ac:dyDescent="0.2">
      <c r="B26" s="183"/>
      <c r="C26" s="168"/>
      <c r="D26" s="168"/>
      <c r="E26" s="66"/>
    </row>
    <row r="27" spans="2:5" ht="15.75" x14ac:dyDescent="0.2">
      <c r="B27" s="183"/>
      <c r="C27" s="168"/>
      <c r="D27" s="168"/>
      <c r="E27" s="66"/>
    </row>
    <row r="28" spans="2:5" ht="15.75" x14ac:dyDescent="0.2">
      <c r="B28" s="183"/>
      <c r="C28" s="168"/>
      <c r="D28" s="168"/>
      <c r="E28" s="66"/>
    </row>
    <row r="29" spans="2:5" ht="15.75" x14ac:dyDescent="0.2">
      <c r="B29" s="183"/>
      <c r="C29" s="168"/>
      <c r="D29" s="168"/>
      <c r="E29" s="66"/>
    </row>
    <row r="30" spans="2:5" ht="15.75" x14ac:dyDescent="0.2">
      <c r="B30" s="183"/>
      <c r="C30" s="168"/>
      <c r="D30" s="168"/>
      <c r="E30" s="66"/>
    </row>
    <row r="31" spans="2:5" ht="15.75" x14ac:dyDescent="0.2">
      <c r="B31" s="183"/>
      <c r="C31" s="168"/>
      <c r="D31" s="168"/>
      <c r="E31" s="66"/>
    </row>
    <row r="32" spans="2:5" ht="15.75" x14ac:dyDescent="0.2">
      <c r="B32" s="183"/>
      <c r="C32" s="168"/>
      <c r="D32" s="168"/>
      <c r="E32" s="171"/>
    </row>
    <row r="33" spans="2:5" ht="15.75" x14ac:dyDescent="0.2">
      <c r="B33" s="183"/>
      <c r="C33" s="168"/>
      <c r="D33" s="168"/>
      <c r="E33" s="171"/>
    </row>
    <row r="34" spans="2:5" ht="15.75" x14ac:dyDescent="0.2">
      <c r="B34" s="183"/>
      <c r="C34" s="168"/>
      <c r="D34" s="168"/>
      <c r="E34" s="171"/>
    </row>
    <row r="35" spans="2:5" ht="15.75" x14ac:dyDescent="0.2">
      <c r="B35" s="183"/>
      <c r="C35" s="168"/>
      <c r="D35" s="168"/>
      <c r="E35" s="171"/>
    </row>
    <row r="36" spans="2:5" ht="15.75" x14ac:dyDescent="0.2">
      <c r="B36" s="183"/>
      <c r="C36" s="168"/>
      <c r="D36" s="168"/>
      <c r="E36" s="171"/>
    </row>
    <row r="37" spans="2:5" ht="15.75" x14ac:dyDescent="0.2">
      <c r="B37" s="183"/>
      <c r="C37" s="168"/>
      <c r="D37" s="168"/>
      <c r="E37" s="171"/>
    </row>
    <row r="38" spans="2:5" ht="15.75" x14ac:dyDescent="0.2">
      <c r="B38" s="183"/>
      <c r="C38" s="168"/>
      <c r="D38" s="168"/>
      <c r="E38" s="171"/>
    </row>
    <row r="39" spans="2:5" ht="15.75" x14ac:dyDescent="0.2">
      <c r="B39" s="183"/>
      <c r="C39" s="168"/>
      <c r="D39" s="168"/>
      <c r="E39" s="171"/>
    </row>
    <row r="40" spans="2:5" ht="15.75" x14ac:dyDescent="0.2">
      <c r="B40" s="183"/>
      <c r="C40" s="168"/>
      <c r="D40" s="168"/>
      <c r="E40" s="171"/>
    </row>
    <row r="41" spans="2:5" ht="15.75" x14ac:dyDescent="0.2">
      <c r="B41" s="184" t="str">
        <f>CONCATENATE("Cash Forward (",E1," column)")</f>
        <v>Cash Forward (2024 column)</v>
      </c>
      <c r="C41" s="168"/>
      <c r="D41" s="168"/>
      <c r="E41" s="171"/>
    </row>
    <row r="42" spans="2:5" ht="15.75" x14ac:dyDescent="0.2">
      <c r="B42" s="184" t="s">
        <v>9</v>
      </c>
      <c r="C42" s="168"/>
      <c r="D42" s="168"/>
      <c r="E42" s="171"/>
    </row>
    <row r="43" spans="2:5" ht="15.75" x14ac:dyDescent="0.2">
      <c r="B43" s="184" t="s">
        <v>353</v>
      </c>
      <c r="C43" s="173" t="str">
        <f>IF(C44*0.1&lt;C42,"Exceed 10% Rule","")</f>
        <v/>
      </c>
      <c r="D43" s="173" t="str">
        <f>IF(D44*0.1&lt;D42,"Exceed 10% Rule","")</f>
        <v/>
      </c>
      <c r="E43" s="204" t="str">
        <f>IF(E44*0.1&lt;E42,"Exceed 10% Rule","")</f>
        <v/>
      </c>
    </row>
    <row r="44" spans="2:5" ht="15.75" x14ac:dyDescent="0.2">
      <c r="B44" s="175" t="s">
        <v>75</v>
      </c>
      <c r="C44" s="177">
        <f>SUM(C21:C42)</f>
        <v>0</v>
      </c>
      <c r="D44" s="177">
        <f>SUM(D21:D42)</f>
        <v>0</v>
      </c>
      <c r="E44" s="178">
        <f>SUM(E21:E42)</f>
        <v>0</v>
      </c>
    </row>
    <row r="45" spans="2:5" ht="15.75" x14ac:dyDescent="0.2">
      <c r="B45" s="93" t="s">
        <v>138</v>
      </c>
      <c r="C45" s="181">
        <f>C19-C44</f>
        <v>0</v>
      </c>
      <c r="D45" s="181">
        <f>D19-D44</f>
        <v>0</v>
      </c>
      <c r="E45" s="50">
        <f>E19-E44</f>
        <v>0</v>
      </c>
    </row>
    <row r="46" spans="2:5" ht="15.75" x14ac:dyDescent="0.2">
      <c r="B46" s="108" t="str">
        <f>CONCATENATE("",E1-2,"/",E1-1,"/",E1," Budget Authority Amount:")</f>
        <v>2022/2023/2024 Budget Authority Amount:</v>
      </c>
      <c r="C46" s="446">
        <f>inputOth!B96</f>
        <v>1136443</v>
      </c>
      <c r="D46" s="446">
        <f>inputPrYr!D54</f>
        <v>1131143</v>
      </c>
      <c r="E46" s="458">
        <f>E44</f>
        <v>0</v>
      </c>
    </row>
    <row r="47" spans="2:5" ht="15.75" x14ac:dyDescent="0.2">
      <c r="B47" s="80"/>
      <c r="C47" s="186" t="str">
        <f>IF(C44&gt;C46,"See Tab A","")</f>
        <v/>
      </c>
      <c r="D47" s="186" t="str">
        <f>IF(D44&gt;D46,"See Tab C","")</f>
        <v/>
      </c>
      <c r="E47" s="459" t="str">
        <f>IF(E45&lt;0,"See Tab E","")</f>
        <v/>
      </c>
    </row>
    <row r="48" spans="2:5" ht="15.75" x14ac:dyDescent="0.2">
      <c r="B48" s="539" t="s">
        <v>539</v>
      </c>
      <c r="C48" s="528" t="str">
        <f>IF(C45&lt;0,"See Tab B","")</f>
        <v/>
      </c>
      <c r="D48" s="528" t="str">
        <f>IF(D45&lt;0,"See Tab D","")</f>
        <v/>
      </c>
      <c r="E48" s="532"/>
    </row>
    <row r="49" spans="2:5" ht="15.75" x14ac:dyDescent="0.2">
      <c r="B49" s="529"/>
      <c r="C49" s="186"/>
      <c r="D49" s="186"/>
      <c r="E49" s="533"/>
    </row>
    <row r="50" spans="2:5" ht="15.75" x14ac:dyDescent="0.2">
      <c r="B50" s="530"/>
      <c r="C50" s="531"/>
      <c r="D50" s="531"/>
      <c r="E50" s="73"/>
    </row>
    <row r="51" spans="2:5" x14ac:dyDescent="0.2">
      <c r="B51" s="40"/>
      <c r="C51" s="40"/>
      <c r="D51" s="40"/>
      <c r="E51" s="40"/>
    </row>
    <row r="52" spans="2:5" ht="15.75" x14ac:dyDescent="0.2">
      <c r="B52" s="272" t="s">
        <v>78</v>
      </c>
      <c r="C52" s="464"/>
      <c r="D52" s="40"/>
      <c r="E52" s="40"/>
    </row>
  </sheetData>
  <sheetProtection sheet="1" objects="1" scenarios="1"/>
  <phoneticPr fontId="8" type="noConversion"/>
  <conditionalFormatting sqref="C16">
    <cfRule type="cellIs" dxfId="12" priority="2" stopIfTrue="1" operator="greaterThan">
      <formula>$C$18*0.1</formula>
    </cfRule>
  </conditionalFormatting>
  <conditionalFormatting sqref="C42">
    <cfRule type="cellIs" dxfId="11" priority="7" stopIfTrue="1" operator="greaterThan">
      <formula>$C$44*0.1</formula>
    </cfRule>
  </conditionalFormatting>
  <conditionalFormatting sqref="C44">
    <cfRule type="cellIs" dxfId="10" priority="10" stopIfTrue="1" operator="greaterThan">
      <formula>$C$46</formula>
    </cfRule>
  </conditionalFormatting>
  <conditionalFormatting sqref="C45">
    <cfRule type="cellIs" dxfId="9" priority="11" stopIfTrue="1" operator="lessThan">
      <formula>0</formula>
    </cfRule>
  </conditionalFormatting>
  <conditionalFormatting sqref="D16">
    <cfRule type="cellIs" dxfId="8" priority="3" stopIfTrue="1" operator="greaterThan">
      <formula>$D$18*0.1</formula>
    </cfRule>
  </conditionalFormatting>
  <conditionalFormatting sqref="D42">
    <cfRule type="cellIs" dxfId="7" priority="8" stopIfTrue="1" operator="greaterThan">
      <formula>$D$44*0.1</formula>
    </cfRule>
  </conditionalFormatting>
  <conditionalFormatting sqref="D44">
    <cfRule type="cellIs" dxfId="6" priority="9" stopIfTrue="1" operator="greaterThan">
      <formula>$D$46</formula>
    </cfRule>
  </conditionalFormatting>
  <conditionalFormatting sqref="D45">
    <cfRule type="cellIs" dxfId="5" priority="4" stopIfTrue="1" operator="lessThan">
      <formula>0</formula>
    </cfRule>
  </conditionalFormatting>
  <conditionalFormatting sqref="E16">
    <cfRule type="cellIs" dxfId="4" priority="5" stopIfTrue="1" operator="greaterThan">
      <formula>$E$18*0.1</formula>
    </cfRule>
  </conditionalFormatting>
  <conditionalFormatting sqref="E42">
    <cfRule type="cellIs" dxfId="3" priority="6" stopIfTrue="1" operator="greaterThan">
      <formula>$E$44*0.1</formula>
    </cfRule>
  </conditionalFormatting>
  <conditionalFormatting sqref="E45:E46">
    <cfRule type="cellIs" dxfId="2"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45"/>
  <sheetViews>
    <sheetView workbookViewId="0">
      <selection activeCell="L1" sqref="L1"/>
    </sheetView>
  </sheetViews>
  <sheetFormatPr defaultColWidth="8.88671875" defaultRowHeight="15.75" x14ac:dyDescent="0.2"/>
  <cols>
    <col min="1" max="1" width="11.5546875" style="24" customWidth="1"/>
    <col min="2" max="2" width="7.44140625" style="24" customWidth="1"/>
    <col min="3" max="3" width="11.5546875" style="24" customWidth="1"/>
    <col min="4" max="4" width="7.44140625" style="24" customWidth="1"/>
    <col min="5" max="5" width="11.5546875" style="24" customWidth="1"/>
    <col min="6" max="6" width="7.44140625" style="24" customWidth="1"/>
    <col min="7" max="7" width="11.5546875" style="24" customWidth="1"/>
    <col min="8" max="8" width="7.44140625" style="24" customWidth="1"/>
    <col min="9" max="9" width="11.5546875" style="24" customWidth="1"/>
    <col min="10" max="16384" width="8.88671875" style="24"/>
  </cols>
  <sheetData>
    <row r="1" spans="1:11" x14ac:dyDescent="0.2">
      <c r="A1" s="47" t="str">
        <f>inputPrYr!$D$3</f>
        <v>Wellsville</v>
      </c>
      <c r="B1" s="109"/>
      <c r="C1" s="28"/>
      <c r="D1" s="28"/>
      <c r="E1" s="28"/>
      <c r="F1" s="110" t="s">
        <v>149</v>
      </c>
      <c r="G1" s="28"/>
      <c r="H1" s="28"/>
      <c r="I1" s="28"/>
      <c r="J1" s="28"/>
      <c r="K1" s="28">
        <f>inputPrYr!$C$6</f>
        <v>2024</v>
      </c>
    </row>
    <row r="2" spans="1:11" x14ac:dyDescent="0.2">
      <c r="A2" s="28"/>
      <c r="B2" s="28"/>
      <c r="C2" s="28"/>
      <c r="D2" s="28"/>
      <c r="E2" s="28"/>
      <c r="F2" s="205" t="str">
        <f>CONCATENATE("(Only the actual budget year for ",K1-2," is reported)")</f>
        <v>(Only the actual budget year for 2022 is reported)</v>
      </c>
      <c r="G2" s="28"/>
      <c r="H2" s="28"/>
      <c r="I2" s="28"/>
      <c r="J2" s="28"/>
      <c r="K2" s="28"/>
    </row>
    <row r="3" spans="1:11" x14ac:dyDescent="0.2">
      <c r="A3" s="28" t="s">
        <v>190</v>
      </c>
      <c r="B3" s="28"/>
      <c r="C3" s="28"/>
      <c r="D3" s="28"/>
      <c r="E3" s="28"/>
      <c r="F3" s="68"/>
      <c r="G3" s="28"/>
      <c r="H3" s="28"/>
      <c r="I3" s="28"/>
      <c r="J3" s="28"/>
      <c r="K3" s="28"/>
    </row>
    <row r="4" spans="1:11" x14ac:dyDescent="0.2">
      <c r="A4" s="28" t="s">
        <v>150</v>
      </c>
      <c r="B4" s="28"/>
      <c r="C4" s="28" t="s">
        <v>151</v>
      </c>
      <c r="D4" s="28"/>
      <c r="E4" s="28" t="s">
        <v>152</v>
      </c>
      <c r="F4" s="109"/>
      <c r="G4" s="28" t="s">
        <v>153</v>
      </c>
      <c r="H4" s="28"/>
      <c r="I4" s="28" t="s">
        <v>154</v>
      </c>
      <c r="J4" s="28"/>
      <c r="K4" s="28"/>
    </row>
    <row r="5" spans="1:11" x14ac:dyDescent="0.2">
      <c r="A5" s="725" t="str">
        <f>IF(inputPrYr!B58&gt;" ",(inputPrYr!B58)," ")</f>
        <v>Street Improvement Reserve</v>
      </c>
      <c r="B5" s="726"/>
      <c r="C5" s="725" t="str">
        <f>IF(inputPrYr!B59&gt;" ",(inputPrYr!B59)," ")</f>
        <v>Public Works Equip Reserve</v>
      </c>
      <c r="D5" s="726"/>
      <c r="E5" s="725" t="str">
        <f>IF(inputPrYr!B60&gt;" ",(inputPrYr!B60)," ")</f>
        <v>Water/Sewer/Refuse Utitly</v>
      </c>
      <c r="F5" s="726"/>
      <c r="G5" s="725" t="str">
        <f>IF(inputPrYr!B61&gt;" ",(inputPrYr!B61)," ")</f>
        <v>Cap Improve Design</v>
      </c>
      <c r="H5" s="726"/>
      <c r="I5" s="725" t="str">
        <f>IF(inputPrYr!B62&gt;" ",(inputPrYr!B62)," ")</f>
        <v>Payroll Clearing/Court Bonds</v>
      </c>
      <c r="J5" s="726"/>
      <c r="K5" s="43"/>
    </row>
    <row r="6" spans="1:11" x14ac:dyDescent="0.2">
      <c r="A6" s="206" t="s">
        <v>155</v>
      </c>
      <c r="B6" s="207"/>
      <c r="C6" s="208" t="s">
        <v>155</v>
      </c>
      <c r="D6" s="209"/>
      <c r="E6" s="208" t="s">
        <v>155</v>
      </c>
      <c r="F6" s="103"/>
      <c r="G6" s="208" t="s">
        <v>155</v>
      </c>
      <c r="H6" s="54"/>
      <c r="I6" s="208" t="s">
        <v>155</v>
      </c>
      <c r="J6" s="28"/>
      <c r="K6" s="99" t="s">
        <v>35</v>
      </c>
    </row>
    <row r="7" spans="1:11" x14ac:dyDescent="0.2">
      <c r="A7" s="210" t="s">
        <v>10</v>
      </c>
      <c r="B7" s="211"/>
      <c r="C7" s="212" t="s">
        <v>10</v>
      </c>
      <c r="D7" s="211"/>
      <c r="E7" s="212" t="s">
        <v>10</v>
      </c>
      <c r="F7" s="211"/>
      <c r="G7" s="212" t="s">
        <v>10</v>
      </c>
      <c r="H7" s="211"/>
      <c r="I7" s="212" t="s">
        <v>10</v>
      </c>
      <c r="J7" s="211"/>
      <c r="K7" s="213">
        <f>SUM(B7+D7+F7+H7+J7)</f>
        <v>0</v>
      </c>
    </row>
    <row r="8" spans="1:11" x14ac:dyDescent="0.2">
      <c r="A8" s="214" t="s">
        <v>139</v>
      </c>
      <c r="B8" s="215"/>
      <c r="C8" s="214" t="s">
        <v>139</v>
      </c>
      <c r="D8" s="216"/>
      <c r="E8" s="214" t="s">
        <v>139</v>
      </c>
      <c r="F8" s="109"/>
      <c r="G8" s="214" t="s">
        <v>139</v>
      </c>
      <c r="H8" s="28"/>
      <c r="I8" s="214" t="s">
        <v>139</v>
      </c>
      <c r="J8" s="28"/>
      <c r="K8" s="109"/>
    </row>
    <row r="9" spans="1:11" x14ac:dyDescent="0.2">
      <c r="A9" s="217"/>
      <c r="B9" s="211"/>
      <c r="C9" s="217"/>
      <c r="D9" s="211"/>
      <c r="E9" s="217"/>
      <c r="F9" s="211"/>
      <c r="G9" s="217"/>
      <c r="H9" s="211"/>
      <c r="I9" s="217"/>
      <c r="J9" s="211"/>
      <c r="K9" s="109"/>
    </row>
    <row r="10" spans="1:11" x14ac:dyDescent="0.2">
      <c r="A10" s="217"/>
      <c r="B10" s="211"/>
      <c r="C10" s="217"/>
      <c r="D10" s="211"/>
      <c r="E10" s="217"/>
      <c r="F10" s="211"/>
      <c r="G10" s="217"/>
      <c r="H10" s="211"/>
      <c r="I10" s="217"/>
      <c r="J10" s="211"/>
      <c r="K10" s="109"/>
    </row>
    <row r="11" spans="1:11" x14ac:dyDescent="0.2">
      <c r="A11" s="217"/>
      <c r="B11" s="211"/>
      <c r="C11" s="218"/>
      <c r="D11" s="211"/>
      <c r="E11" s="218"/>
      <c r="F11" s="211"/>
      <c r="G11" s="218"/>
      <c r="H11" s="211"/>
      <c r="I11" s="219"/>
      <c r="J11" s="211"/>
      <c r="K11" s="109"/>
    </row>
    <row r="12" spans="1:11" x14ac:dyDescent="0.2">
      <c r="A12" s="217"/>
      <c r="B12" s="211"/>
      <c r="C12" s="217"/>
      <c r="D12" s="211"/>
      <c r="E12" s="220"/>
      <c r="F12" s="211"/>
      <c r="G12" s="220"/>
      <c r="H12" s="211"/>
      <c r="I12" s="220"/>
      <c r="J12" s="211"/>
      <c r="K12" s="109"/>
    </row>
    <row r="13" spans="1:11" x14ac:dyDescent="0.2">
      <c r="A13" s="221"/>
      <c r="B13" s="211"/>
      <c r="C13" s="222"/>
      <c r="D13" s="211"/>
      <c r="E13" s="222"/>
      <c r="F13" s="211"/>
      <c r="G13" s="222"/>
      <c r="H13" s="211"/>
      <c r="I13" s="219"/>
      <c r="J13" s="211"/>
      <c r="K13" s="109"/>
    </row>
    <row r="14" spans="1:11" x14ac:dyDescent="0.2">
      <c r="A14" s="217"/>
      <c r="B14" s="211"/>
      <c r="C14" s="220"/>
      <c r="D14" s="211"/>
      <c r="E14" s="220"/>
      <c r="F14" s="211"/>
      <c r="G14" s="220"/>
      <c r="H14" s="211"/>
      <c r="I14" s="220"/>
      <c r="J14" s="211"/>
      <c r="K14" s="109"/>
    </row>
    <row r="15" spans="1:11" x14ac:dyDescent="0.2">
      <c r="A15" s="217"/>
      <c r="B15" s="211"/>
      <c r="C15" s="220"/>
      <c r="D15" s="211"/>
      <c r="E15" s="220"/>
      <c r="F15" s="211"/>
      <c r="G15" s="220"/>
      <c r="H15" s="211"/>
      <c r="I15" s="220"/>
      <c r="J15" s="211"/>
      <c r="K15" s="109"/>
    </row>
    <row r="16" spans="1:11" x14ac:dyDescent="0.2">
      <c r="A16" s="217"/>
      <c r="B16" s="211"/>
      <c r="C16" s="217"/>
      <c r="D16" s="211"/>
      <c r="E16" s="217"/>
      <c r="F16" s="211"/>
      <c r="G16" s="220"/>
      <c r="H16" s="211"/>
      <c r="I16" s="217"/>
      <c r="J16" s="211"/>
      <c r="K16" s="109"/>
    </row>
    <row r="17" spans="1:12" x14ac:dyDescent="0.2">
      <c r="A17" s="214" t="s">
        <v>68</v>
      </c>
      <c r="B17" s="213">
        <f>SUM(B9:B16)</f>
        <v>0</v>
      </c>
      <c r="C17" s="214" t="s">
        <v>68</v>
      </c>
      <c r="D17" s="213">
        <f>SUM(D9:D16)</f>
        <v>0</v>
      </c>
      <c r="E17" s="214" t="s">
        <v>68</v>
      </c>
      <c r="F17" s="252">
        <f>SUM(F9:F16)</f>
        <v>0</v>
      </c>
      <c r="G17" s="214" t="s">
        <v>68</v>
      </c>
      <c r="H17" s="213">
        <f>SUM(H9:H16)</f>
        <v>0</v>
      </c>
      <c r="I17" s="214" t="s">
        <v>68</v>
      </c>
      <c r="J17" s="213">
        <f>SUM(J9:J16)</f>
        <v>0</v>
      </c>
      <c r="K17" s="213">
        <f>SUM(B17+D17+F17+H17+J17)</f>
        <v>0</v>
      </c>
    </row>
    <row r="18" spans="1:12" x14ac:dyDescent="0.2">
      <c r="A18" s="214" t="s">
        <v>69</v>
      </c>
      <c r="B18" s="213">
        <f>SUM(B7+B17)</f>
        <v>0</v>
      </c>
      <c r="C18" s="214" t="s">
        <v>69</v>
      </c>
      <c r="D18" s="213">
        <f>SUM(D7+D17)</f>
        <v>0</v>
      </c>
      <c r="E18" s="214" t="s">
        <v>69</v>
      </c>
      <c r="F18" s="213">
        <f>SUM(F7+F17)</f>
        <v>0</v>
      </c>
      <c r="G18" s="214" t="s">
        <v>69</v>
      </c>
      <c r="H18" s="213">
        <f>SUM(H7+H17)</f>
        <v>0</v>
      </c>
      <c r="I18" s="214" t="s">
        <v>69</v>
      </c>
      <c r="J18" s="213">
        <f>SUM(J7+J17)</f>
        <v>0</v>
      </c>
      <c r="K18" s="213">
        <f>SUM(B18+D18+F18+H18+J18)</f>
        <v>0</v>
      </c>
    </row>
    <row r="19" spans="1:12" x14ac:dyDescent="0.2">
      <c r="A19" s="214" t="s">
        <v>71</v>
      </c>
      <c r="B19" s="215"/>
      <c r="C19" s="214" t="s">
        <v>71</v>
      </c>
      <c r="D19" s="216"/>
      <c r="E19" s="214" t="s">
        <v>71</v>
      </c>
      <c r="F19" s="109"/>
      <c r="G19" s="214" t="s">
        <v>71</v>
      </c>
      <c r="H19" s="28"/>
      <c r="I19" s="214" t="s">
        <v>71</v>
      </c>
      <c r="J19" s="28"/>
      <c r="K19" s="109"/>
    </row>
    <row r="20" spans="1:12" x14ac:dyDescent="0.2">
      <c r="A20" s="217"/>
      <c r="B20" s="211"/>
      <c r="C20" s="220"/>
      <c r="D20" s="211"/>
      <c r="E20" s="220"/>
      <c r="F20" s="211"/>
      <c r="G20" s="220"/>
      <c r="H20" s="211"/>
      <c r="I20" s="220"/>
      <c r="J20" s="211"/>
      <c r="K20" s="109"/>
    </row>
    <row r="21" spans="1:12" x14ac:dyDescent="0.2">
      <c r="A21" s="217"/>
      <c r="B21" s="211"/>
      <c r="C21" s="220"/>
      <c r="D21" s="211"/>
      <c r="E21" s="220"/>
      <c r="F21" s="211"/>
      <c r="G21" s="220"/>
      <c r="H21" s="211"/>
      <c r="I21" s="220"/>
      <c r="J21" s="211"/>
      <c r="K21" s="109"/>
    </row>
    <row r="22" spans="1:12" x14ac:dyDescent="0.2">
      <c r="A22" s="217"/>
      <c r="B22" s="211"/>
      <c r="C22" s="222"/>
      <c r="D22" s="211"/>
      <c r="E22" s="222"/>
      <c r="F22" s="211"/>
      <c r="G22" s="222"/>
      <c r="H22" s="211"/>
      <c r="I22" s="219"/>
      <c r="J22" s="211"/>
      <c r="K22" s="109"/>
    </row>
    <row r="23" spans="1:12" x14ac:dyDescent="0.2">
      <c r="A23" s="217"/>
      <c r="B23" s="211"/>
      <c r="C23" s="220"/>
      <c r="D23" s="211"/>
      <c r="E23" s="220"/>
      <c r="F23" s="211"/>
      <c r="G23" s="220"/>
      <c r="H23" s="211"/>
      <c r="I23" s="220"/>
      <c r="J23" s="211"/>
      <c r="K23" s="109"/>
    </row>
    <row r="24" spans="1:12" x14ac:dyDescent="0.2">
      <c r="A24" s="217"/>
      <c r="B24" s="211"/>
      <c r="C24" s="222"/>
      <c r="D24" s="211"/>
      <c r="E24" s="222"/>
      <c r="F24" s="211"/>
      <c r="G24" s="222"/>
      <c r="H24" s="211"/>
      <c r="I24" s="219"/>
      <c r="J24" s="211"/>
      <c r="K24" s="109"/>
    </row>
    <row r="25" spans="1:12" x14ac:dyDescent="0.2">
      <c r="A25" s="217"/>
      <c r="B25" s="211"/>
      <c r="C25" s="220"/>
      <c r="D25" s="211"/>
      <c r="E25" s="220"/>
      <c r="F25" s="211"/>
      <c r="G25" s="220"/>
      <c r="H25" s="211"/>
      <c r="I25" s="220"/>
      <c r="J25" s="211"/>
      <c r="K25" s="109"/>
    </row>
    <row r="26" spans="1:12" x14ac:dyDescent="0.2">
      <c r="A26" s="217"/>
      <c r="B26" s="211"/>
      <c r="C26" s="220"/>
      <c r="D26" s="211"/>
      <c r="E26" s="220"/>
      <c r="F26" s="211"/>
      <c r="G26" s="220"/>
      <c r="H26" s="211"/>
      <c r="I26" s="220"/>
      <c r="J26" s="211"/>
      <c r="K26" s="109"/>
    </row>
    <row r="27" spans="1:12" x14ac:dyDescent="0.2">
      <c r="A27" s="217"/>
      <c r="B27" s="211"/>
      <c r="C27" s="217"/>
      <c r="D27" s="211"/>
      <c r="E27" s="217"/>
      <c r="F27" s="211"/>
      <c r="G27" s="220"/>
      <c r="H27" s="211"/>
      <c r="I27" s="220"/>
      <c r="J27" s="211"/>
      <c r="K27" s="109"/>
    </row>
    <row r="28" spans="1:12" x14ac:dyDescent="0.2">
      <c r="A28" s="214" t="s">
        <v>75</v>
      </c>
      <c r="B28" s="213">
        <f>SUM(B20:B27)</f>
        <v>0</v>
      </c>
      <c r="C28" s="214" t="s">
        <v>75</v>
      </c>
      <c r="D28" s="213">
        <f>SUM(D20:D27)</f>
        <v>0</v>
      </c>
      <c r="E28" s="214" t="s">
        <v>75</v>
      </c>
      <c r="F28" s="252">
        <f>SUM(F20:F27)</f>
        <v>0</v>
      </c>
      <c r="G28" s="214" t="s">
        <v>75</v>
      </c>
      <c r="H28" s="252">
        <f>SUM(H20:H27)</f>
        <v>0</v>
      </c>
      <c r="I28" s="214" t="s">
        <v>75</v>
      </c>
      <c r="J28" s="213">
        <f>SUM(J20:J27)</f>
        <v>0</v>
      </c>
      <c r="K28" s="213">
        <f>SUM(B28+D28+F28+H28+J28)</f>
        <v>0</v>
      </c>
    </row>
    <row r="29" spans="1:12" x14ac:dyDescent="0.2">
      <c r="A29" s="214" t="s">
        <v>156</v>
      </c>
      <c r="B29" s="213">
        <f>SUM(B18-B28)</f>
        <v>0</v>
      </c>
      <c r="C29" s="214" t="s">
        <v>156</v>
      </c>
      <c r="D29" s="213">
        <f>SUM(D18-D28)</f>
        <v>0</v>
      </c>
      <c r="E29" s="214" t="s">
        <v>156</v>
      </c>
      <c r="F29" s="213">
        <f>SUM(F18-F28)</f>
        <v>0</v>
      </c>
      <c r="G29" s="214" t="s">
        <v>156</v>
      </c>
      <c r="H29" s="213">
        <f>SUM(H18-H28)</f>
        <v>0</v>
      </c>
      <c r="I29" s="214" t="s">
        <v>156</v>
      </c>
      <c r="J29" s="213">
        <f>SUM(J18-J28)</f>
        <v>0</v>
      </c>
      <c r="K29" s="223">
        <f>SUM(B29+D29+F29+H29+J29)</f>
        <v>0</v>
      </c>
      <c r="L29" s="24" t="s">
        <v>213</v>
      </c>
    </row>
    <row r="30" spans="1:12" x14ac:dyDescent="0.2">
      <c r="A30" s="214"/>
      <c r="B30" s="243" t="str">
        <f>IF(B29&lt;0,"See Tab B","")</f>
        <v/>
      </c>
      <c r="C30" s="214"/>
      <c r="D30" s="243" t="str">
        <f>IF(D29&lt;0,"See Tab B","")</f>
        <v/>
      </c>
      <c r="E30" s="214"/>
      <c r="F30" s="243" t="str">
        <f>IF(F29&lt;0,"See Tab B","")</f>
        <v/>
      </c>
      <c r="G30" s="28"/>
      <c r="H30" s="243" t="str">
        <f>IF(H29&lt;0,"See Tab B","")</f>
        <v/>
      </c>
      <c r="I30" s="28"/>
      <c r="J30" s="243" t="str">
        <f>IF(J29&lt;0,"See Tab B","")</f>
        <v/>
      </c>
      <c r="K30" s="223">
        <f>SUM(K7+K17-K28)</f>
        <v>0</v>
      </c>
      <c r="L30" s="24" t="s">
        <v>213</v>
      </c>
    </row>
    <row r="31" spans="1:12" x14ac:dyDescent="0.2">
      <c r="A31" s="28"/>
      <c r="B31" s="56"/>
      <c r="C31" s="28"/>
      <c r="D31" s="109"/>
      <c r="E31" s="28"/>
      <c r="F31" s="28"/>
      <c r="G31" s="28"/>
      <c r="H31" s="724" t="s">
        <v>214</v>
      </c>
      <c r="I31" s="724"/>
      <c r="J31" s="724"/>
      <c r="K31" s="724"/>
    </row>
    <row r="32" spans="1:12" x14ac:dyDescent="0.2">
      <c r="A32" s="28"/>
      <c r="B32" s="56"/>
      <c r="C32" s="28"/>
      <c r="D32" s="28"/>
      <c r="E32" s="28"/>
      <c r="F32" s="28"/>
      <c r="G32" s="28"/>
      <c r="H32" s="28"/>
      <c r="I32" s="28"/>
      <c r="J32" s="28"/>
      <c r="K32" s="28"/>
    </row>
    <row r="33" spans="1:11" x14ac:dyDescent="0.2">
      <c r="A33" s="537" t="s">
        <v>541</v>
      </c>
      <c r="B33" s="112"/>
      <c r="C33" s="69"/>
      <c r="D33" s="69"/>
      <c r="E33" s="69"/>
      <c r="F33" s="69"/>
      <c r="G33" s="69"/>
      <c r="H33" s="69"/>
      <c r="I33" s="69"/>
      <c r="J33" s="69"/>
      <c r="K33" s="511"/>
    </row>
    <row r="34" spans="1:11" x14ac:dyDescent="0.2">
      <c r="A34" s="534"/>
      <c r="B34" s="56"/>
      <c r="C34" s="28"/>
      <c r="D34" s="28"/>
      <c r="E34" s="28"/>
      <c r="F34" s="28"/>
      <c r="G34" s="28"/>
      <c r="H34" s="28"/>
      <c r="I34" s="28"/>
      <c r="J34" s="28"/>
      <c r="K34" s="535"/>
    </row>
    <row r="35" spans="1:11" x14ac:dyDescent="0.2">
      <c r="A35" s="514"/>
      <c r="B35" s="111"/>
      <c r="C35" s="43"/>
      <c r="D35" s="43"/>
      <c r="E35" s="43"/>
      <c r="F35" s="43"/>
      <c r="G35" s="43"/>
      <c r="H35" s="43"/>
      <c r="I35" s="43"/>
      <c r="J35" s="43"/>
      <c r="K35" s="49"/>
    </row>
    <row r="36" spans="1:11" x14ac:dyDescent="0.2">
      <c r="A36" s="28"/>
      <c r="B36" s="56"/>
      <c r="C36" s="28"/>
      <c r="D36" s="28"/>
      <c r="E36" s="28"/>
      <c r="F36" s="28"/>
      <c r="G36" s="28"/>
      <c r="H36" s="28"/>
      <c r="I36" s="28"/>
      <c r="J36" s="28"/>
      <c r="K36" s="28"/>
    </row>
    <row r="37" spans="1:11" x14ac:dyDescent="0.2">
      <c r="A37" s="28"/>
      <c r="B37" s="56"/>
      <c r="C37" s="28"/>
      <c r="D37" s="28"/>
      <c r="E37" s="80" t="s">
        <v>78</v>
      </c>
      <c r="F37" s="464"/>
      <c r="G37" s="28"/>
      <c r="H37" s="28"/>
      <c r="I37" s="28"/>
      <c r="J37" s="28"/>
      <c r="K37" s="28"/>
    </row>
    <row r="38" spans="1:11" x14ac:dyDescent="0.2">
      <c r="B38" s="224"/>
    </row>
    <row r="39" spans="1:11" x14ac:dyDescent="0.2">
      <c r="B39" s="224"/>
    </row>
    <row r="40" spans="1:11" x14ac:dyDescent="0.2">
      <c r="B40" s="224"/>
    </row>
    <row r="41" spans="1:11" x14ac:dyDescent="0.2">
      <c r="B41" s="224"/>
    </row>
    <row r="42" spans="1:11" x14ac:dyDescent="0.2">
      <c r="B42" s="224"/>
    </row>
    <row r="43" spans="1:11" x14ac:dyDescent="0.2">
      <c r="B43" s="224"/>
    </row>
    <row r="44" spans="1:11" x14ac:dyDescent="0.2">
      <c r="B44" s="224"/>
    </row>
    <row r="45" spans="1:11" x14ac:dyDescent="0.2">
      <c r="B45" s="224"/>
    </row>
  </sheetData>
  <sheetProtection sheet="1" objects="1" scenarios="1"/>
  <mergeCells count="6">
    <mergeCell ref="H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45"/>
  <sheetViews>
    <sheetView workbookViewId="0">
      <selection activeCell="L1" sqref="L1"/>
    </sheetView>
  </sheetViews>
  <sheetFormatPr defaultColWidth="8.88671875" defaultRowHeight="15.75" x14ac:dyDescent="0.2"/>
  <cols>
    <col min="1" max="1" width="11.5546875" style="24" customWidth="1"/>
    <col min="2" max="2" width="7.44140625" style="24" customWidth="1"/>
    <col min="3" max="3" width="11.5546875" style="24" customWidth="1"/>
    <col min="4" max="4" width="7.44140625" style="24" customWidth="1"/>
    <col min="5" max="5" width="11.5546875" style="24" customWidth="1"/>
    <col min="6" max="6" width="7.44140625" style="24" customWidth="1"/>
    <col min="7" max="7" width="11.5546875" style="24" customWidth="1"/>
    <col min="8" max="8" width="7.44140625" style="24" customWidth="1"/>
    <col min="9" max="9" width="11.5546875" style="24" customWidth="1"/>
    <col min="10" max="16384" width="8.88671875" style="24"/>
  </cols>
  <sheetData>
    <row r="1" spans="1:11" x14ac:dyDescent="0.2">
      <c r="A1" s="47" t="str">
        <f>inputPrYr!$D$3</f>
        <v>Wellsville</v>
      </c>
      <c r="B1" s="109"/>
      <c r="C1" s="28"/>
      <c r="D1" s="28"/>
      <c r="E1" s="28"/>
      <c r="F1" s="110" t="s">
        <v>157</v>
      </c>
      <c r="G1" s="28"/>
      <c r="H1" s="28"/>
      <c r="I1" s="28"/>
      <c r="J1" s="28"/>
      <c r="K1" s="28">
        <f>inputPrYr!$C$6</f>
        <v>2024</v>
      </c>
    </row>
    <row r="2" spans="1:11" x14ac:dyDescent="0.2">
      <c r="A2" s="28"/>
      <c r="B2" s="28"/>
      <c r="C2" s="28"/>
      <c r="D2" s="28"/>
      <c r="E2" s="28"/>
      <c r="F2" s="205" t="str">
        <f>CONCATENATE("(Only the actual budget year for ",K1-2," is reported)")</f>
        <v>(Only the actual budget year for 2022 is reported)</v>
      </c>
      <c r="G2" s="28"/>
      <c r="H2" s="28"/>
      <c r="I2" s="28"/>
      <c r="J2" s="28"/>
      <c r="K2" s="28"/>
    </row>
    <row r="3" spans="1:11" x14ac:dyDescent="0.2">
      <c r="A3" s="28" t="s">
        <v>189</v>
      </c>
      <c r="B3" s="28"/>
      <c r="C3" s="28"/>
      <c r="D3" s="28"/>
      <c r="E3" s="28"/>
      <c r="F3" s="109"/>
      <c r="G3" s="28"/>
      <c r="H3" s="28"/>
      <c r="I3" s="28"/>
      <c r="J3" s="28"/>
      <c r="K3" s="28"/>
    </row>
    <row r="4" spans="1:11" x14ac:dyDescent="0.2">
      <c r="A4" s="28" t="s">
        <v>150</v>
      </c>
      <c r="B4" s="28"/>
      <c r="C4" s="28" t="s">
        <v>151</v>
      </c>
      <c r="D4" s="28"/>
      <c r="E4" s="28" t="s">
        <v>152</v>
      </c>
      <c r="F4" s="109"/>
      <c r="G4" s="28" t="s">
        <v>153</v>
      </c>
      <c r="H4" s="28"/>
      <c r="I4" s="28" t="s">
        <v>154</v>
      </c>
      <c r="J4" s="28"/>
      <c r="K4" s="28"/>
    </row>
    <row r="5" spans="1:11" x14ac:dyDescent="0.2">
      <c r="A5" s="725" t="str">
        <f>IF(inputPrYr!B64&gt;" ",(inputPrYr!B64)," ")</f>
        <v>Employee Benefit Trust</v>
      </c>
      <c r="B5" s="726"/>
      <c r="C5" s="725" t="str">
        <f>IF(inputPrYr!B65&gt;" ",(inputPrYr!B65)," ")</f>
        <v>Police Improvement Reserve</v>
      </c>
      <c r="D5" s="726"/>
      <c r="E5" s="725" t="str">
        <f>IF(inputPrYr!B66&gt;" ",(inputPrYr!B66)," ")</f>
        <v>Fire Improvement Reserve</v>
      </c>
      <c r="F5" s="726"/>
      <c r="G5" s="725" t="str">
        <f>IF(inputPrYr!B67&gt;" ",(inputPrYr!B67)," ")</f>
        <v>Park Improvement Reserve</v>
      </c>
      <c r="H5" s="726"/>
      <c r="I5" s="725" t="str">
        <f>IF(inputPrYr!B68&gt;" ",(inputPrYr!B68)," ")</f>
        <v>Grant/Donations Fund</v>
      </c>
      <c r="J5" s="726"/>
      <c r="K5" s="43"/>
    </row>
    <row r="6" spans="1:11" x14ac:dyDescent="0.2">
      <c r="A6" s="206" t="s">
        <v>155</v>
      </c>
      <c r="B6" s="207"/>
      <c r="C6" s="208" t="s">
        <v>155</v>
      </c>
      <c r="D6" s="209"/>
      <c r="E6" s="208" t="s">
        <v>155</v>
      </c>
      <c r="F6" s="103"/>
      <c r="G6" s="208" t="s">
        <v>155</v>
      </c>
      <c r="H6" s="54"/>
      <c r="I6" s="208" t="s">
        <v>155</v>
      </c>
      <c r="J6" s="28"/>
      <c r="K6" s="99" t="s">
        <v>35</v>
      </c>
    </row>
    <row r="7" spans="1:11" x14ac:dyDescent="0.2">
      <c r="A7" s="210" t="s">
        <v>10</v>
      </c>
      <c r="B7" s="211"/>
      <c r="C7" s="212" t="s">
        <v>10</v>
      </c>
      <c r="D7" s="211"/>
      <c r="E7" s="212" t="s">
        <v>10</v>
      </c>
      <c r="F7" s="211"/>
      <c r="G7" s="212" t="s">
        <v>10</v>
      </c>
      <c r="H7" s="211"/>
      <c r="I7" s="212" t="s">
        <v>10</v>
      </c>
      <c r="J7" s="211"/>
      <c r="K7" s="213">
        <f>SUM(B7+D7+F7+H7+J7)</f>
        <v>0</v>
      </c>
    </row>
    <row r="8" spans="1:11" x14ac:dyDescent="0.2">
      <c r="A8" s="214" t="s">
        <v>139</v>
      </c>
      <c r="B8" s="215"/>
      <c r="C8" s="214" t="s">
        <v>139</v>
      </c>
      <c r="D8" s="216"/>
      <c r="E8" s="214" t="s">
        <v>139</v>
      </c>
      <c r="F8" s="109"/>
      <c r="G8" s="214" t="s">
        <v>139</v>
      </c>
      <c r="H8" s="28"/>
      <c r="I8" s="214" t="s">
        <v>139</v>
      </c>
      <c r="J8" s="28"/>
      <c r="K8" s="109"/>
    </row>
    <row r="9" spans="1:11" x14ac:dyDescent="0.2">
      <c r="A9" s="217"/>
      <c r="B9" s="211"/>
      <c r="C9" s="217"/>
      <c r="D9" s="211"/>
      <c r="E9" s="217"/>
      <c r="F9" s="211"/>
      <c r="G9" s="217"/>
      <c r="H9" s="211"/>
      <c r="I9" s="217"/>
      <c r="J9" s="211"/>
      <c r="K9" s="109"/>
    </row>
    <row r="10" spans="1:11" x14ac:dyDescent="0.2">
      <c r="A10" s="217"/>
      <c r="B10" s="211"/>
      <c r="C10" s="217"/>
      <c r="D10" s="211"/>
      <c r="E10" s="217"/>
      <c r="F10" s="211"/>
      <c r="G10" s="217"/>
      <c r="H10" s="211"/>
      <c r="I10" s="217"/>
      <c r="J10" s="211"/>
      <c r="K10" s="109"/>
    </row>
    <row r="11" spans="1:11" x14ac:dyDescent="0.2">
      <c r="A11" s="217"/>
      <c r="B11" s="211"/>
      <c r="C11" s="218"/>
      <c r="D11" s="211"/>
      <c r="E11" s="218"/>
      <c r="F11" s="211"/>
      <c r="G11" s="218"/>
      <c r="H11" s="211"/>
      <c r="I11" s="219"/>
      <c r="J11" s="211"/>
      <c r="K11" s="109"/>
    </row>
    <row r="12" spans="1:11" x14ac:dyDescent="0.2">
      <c r="A12" s="217"/>
      <c r="B12" s="211"/>
      <c r="C12" s="217"/>
      <c r="D12" s="211"/>
      <c r="E12" s="220"/>
      <c r="F12" s="211"/>
      <c r="G12" s="220"/>
      <c r="H12" s="211"/>
      <c r="I12" s="220"/>
      <c r="J12" s="211"/>
      <c r="K12" s="109"/>
    </row>
    <row r="13" spans="1:11" x14ac:dyDescent="0.2">
      <c r="A13" s="221"/>
      <c r="B13" s="211"/>
      <c r="C13" s="222"/>
      <c r="D13" s="211"/>
      <c r="E13" s="222"/>
      <c r="F13" s="211"/>
      <c r="G13" s="222"/>
      <c r="H13" s="211"/>
      <c r="I13" s="219"/>
      <c r="J13" s="211"/>
      <c r="K13" s="109"/>
    </row>
    <row r="14" spans="1:11" x14ac:dyDescent="0.2">
      <c r="A14" s="217"/>
      <c r="B14" s="211"/>
      <c r="C14" s="220"/>
      <c r="D14" s="211"/>
      <c r="E14" s="220"/>
      <c r="F14" s="211"/>
      <c r="G14" s="220"/>
      <c r="H14" s="211"/>
      <c r="I14" s="220"/>
      <c r="J14" s="211"/>
      <c r="K14" s="109"/>
    </row>
    <row r="15" spans="1:11" x14ac:dyDescent="0.2">
      <c r="A15" s="217"/>
      <c r="B15" s="211"/>
      <c r="C15" s="220"/>
      <c r="D15" s="211"/>
      <c r="E15" s="220"/>
      <c r="F15" s="211"/>
      <c r="G15" s="220"/>
      <c r="H15" s="211"/>
      <c r="I15" s="220"/>
      <c r="J15" s="211"/>
      <c r="K15" s="109"/>
    </row>
    <row r="16" spans="1:11" x14ac:dyDescent="0.2">
      <c r="A16" s="217"/>
      <c r="B16" s="211"/>
      <c r="C16" s="217"/>
      <c r="D16" s="211"/>
      <c r="E16" s="217"/>
      <c r="F16" s="211"/>
      <c r="G16" s="220"/>
      <c r="H16" s="211"/>
      <c r="I16" s="217"/>
      <c r="J16" s="211"/>
      <c r="K16" s="109"/>
    </row>
    <row r="17" spans="1:12" x14ac:dyDescent="0.2">
      <c r="A17" s="214" t="s">
        <v>68</v>
      </c>
      <c r="B17" s="213">
        <f>SUM(B9:B16)</f>
        <v>0</v>
      </c>
      <c r="C17" s="214" t="s">
        <v>68</v>
      </c>
      <c r="D17" s="213">
        <f>SUM(D9:D16)</f>
        <v>0</v>
      </c>
      <c r="E17" s="214" t="s">
        <v>68</v>
      </c>
      <c r="F17" s="252">
        <f>SUM(F9:F16)</f>
        <v>0</v>
      </c>
      <c r="G17" s="214" t="s">
        <v>68</v>
      </c>
      <c r="H17" s="213">
        <f>SUM(H9:H16)</f>
        <v>0</v>
      </c>
      <c r="I17" s="214" t="s">
        <v>68</v>
      </c>
      <c r="J17" s="213">
        <f>SUM(J9:J16)</f>
        <v>0</v>
      </c>
      <c r="K17" s="213">
        <f>SUM(B17+D17+F17+H17+J17)</f>
        <v>0</v>
      </c>
    </row>
    <row r="18" spans="1:12" x14ac:dyDescent="0.2">
      <c r="A18" s="214" t="s">
        <v>69</v>
      </c>
      <c r="B18" s="213">
        <f>SUM(B7+B17)</f>
        <v>0</v>
      </c>
      <c r="C18" s="214" t="s">
        <v>69</v>
      </c>
      <c r="D18" s="213">
        <f>SUM(D7+D17)</f>
        <v>0</v>
      </c>
      <c r="E18" s="214" t="s">
        <v>69</v>
      </c>
      <c r="F18" s="213">
        <f>SUM(F7+F17)</f>
        <v>0</v>
      </c>
      <c r="G18" s="214" t="s">
        <v>69</v>
      </c>
      <c r="H18" s="213">
        <f>SUM(H7+H17)</f>
        <v>0</v>
      </c>
      <c r="I18" s="214" t="s">
        <v>69</v>
      </c>
      <c r="J18" s="213">
        <f>SUM(J7+J17)</f>
        <v>0</v>
      </c>
      <c r="K18" s="213">
        <f>SUM(B18+D18+F18+H18+J18)</f>
        <v>0</v>
      </c>
    </row>
    <row r="19" spans="1:12" x14ac:dyDescent="0.2">
      <c r="A19" s="214" t="s">
        <v>71</v>
      </c>
      <c r="B19" s="215"/>
      <c r="C19" s="214" t="s">
        <v>71</v>
      </c>
      <c r="D19" s="216"/>
      <c r="E19" s="214" t="s">
        <v>71</v>
      </c>
      <c r="F19" s="109"/>
      <c r="G19" s="214" t="s">
        <v>71</v>
      </c>
      <c r="H19" s="28"/>
      <c r="I19" s="214" t="s">
        <v>71</v>
      </c>
      <c r="J19" s="28"/>
      <c r="K19" s="109"/>
    </row>
    <row r="20" spans="1:12" x14ac:dyDescent="0.2">
      <c r="A20" s="217"/>
      <c r="B20" s="211"/>
      <c r="C20" s="220"/>
      <c r="D20" s="211"/>
      <c r="E20" s="220"/>
      <c r="F20" s="211"/>
      <c r="G20" s="220"/>
      <c r="H20" s="211"/>
      <c r="I20" s="220"/>
      <c r="J20" s="211"/>
      <c r="K20" s="109"/>
    </row>
    <row r="21" spans="1:12" x14ac:dyDescent="0.2">
      <c r="A21" s="217"/>
      <c r="B21" s="211"/>
      <c r="C21" s="220"/>
      <c r="D21" s="211"/>
      <c r="E21" s="220"/>
      <c r="F21" s="211"/>
      <c r="G21" s="220"/>
      <c r="H21" s="211"/>
      <c r="I21" s="220"/>
      <c r="J21" s="211"/>
      <c r="K21" s="109"/>
    </row>
    <row r="22" spans="1:12" x14ac:dyDescent="0.2">
      <c r="A22" s="217"/>
      <c r="B22" s="211"/>
      <c r="C22" s="222"/>
      <c r="D22" s="211"/>
      <c r="E22" s="222"/>
      <c r="F22" s="211"/>
      <c r="G22" s="222"/>
      <c r="H22" s="211"/>
      <c r="I22" s="219"/>
      <c r="J22" s="211"/>
      <c r="K22" s="109"/>
    </row>
    <row r="23" spans="1:12" x14ac:dyDescent="0.2">
      <c r="A23" s="217"/>
      <c r="B23" s="211"/>
      <c r="C23" s="220"/>
      <c r="D23" s="211"/>
      <c r="E23" s="220"/>
      <c r="F23" s="211"/>
      <c r="G23" s="220"/>
      <c r="H23" s="211"/>
      <c r="I23" s="220"/>
      <c r="J23" s="211"/>
      <c r="K23" s="109"/>
    </row>
    <row r="24" spans="1:12" x14ac:dyDescent="0.2">
      <c r="A24" s="217"/>
      <c r="B24" s="211"/>
      <c r="C24" s="222"/>
      <c r="D24" s="211"/>
      <c r="E24" s="222"/>
      <c r="F24" s="211"/>
      <c r="G24" s="222"/>
      <c r="H24" s="211"/>
      <c r="I24" s="219"/>
      <c r="J24" s="211"/>
      <c r="K24" s="109"/>
    </row>
    <row r="25" spans="1:12" x14ac:dyDescent="0.2">
      <c r="A25" s="217"/>
      <c r="B25" s="211"/>
      <c r="C25" s="220"/>
      <c r="D25" s="211"/>
      <c r="E25" s="220"/>
      <c r="F25" s="211"/>
      <c r="G25" s="220"/>
      <c r="H25" s="211"/>
      <c r="I25" s="220"/>
      <c r="J25" s="211"/>
      <c r="K25" s="109"/>
    </row>
    <row r="26" spans="1:12" x14ac:dyDescent="0.2">
      <c r="A26" s="217"/>
      <c r="B26" s="211"/>
      <c r="C26" s="220"/>
      <c r="D26" s="211"/>
      <c r="E26" s="220"/>
      <c r="F26" s="211"/>
      <c r="G26" s="220"/>
      <c r="H26" s="211"/>
      <c r="I26" s="220"/>
      <c r="J26" s="211"/>
      <c r="K26" s="109"/>
    </row>
    <row r="27" spans="1:12" x14ac:dyDescent="0.2">
      <c r="A27" s="217"/>
      <c r="B27" s="211"/>
      <c r="C27" s="217"/>
      <c r="D27" s="211"/>
      <c r="E27" s="217"/>
      <c r="F27" s="211"/>
      <c r="G27" s="220"/>
      <c r="H27" s="211"/>
      <c r="I27" s="220"/>
      <c r="J27" s="211"/>
      <c r="K27" s="109"/>
    </row>
    <row r="28" spans="1:12" x14ac:dyDescent="0.2">
      <c r="A28" s="214" t="s">
        <v>75</v>
      </c>
      <c r="B28" s="213">
        <f>SUM(B20:B27)</f>
        <v>0</v>
      </c>
      <c r="C28" s="214" t="s">
        <v>75</v>
      </c>
      <c r="D28" s="213">
        <f>SUM(D20:D27)</f>
        <v>0</v>
      </c>
      <c r="E28" s="214" t="s">
        <v>75</v>
      </c>
      <c r="F28" s="252">
        <f>SUM(F20:F27)</f>
        <v>0</v>
      </c>
      <c r="G28" s="214" t="s">
        <v>75</v>
      </c>
      <c r="H28" s="252">
        <f>SUM(H20:H27)</f>
        <v>0</v>
      </c>
      <c r="I28" s="214" t="s">
        <v>75</v>
      </c>
      <c r="J28" s="213">
        <f>SUM(J20:J27)</f>
        <v>0</v>
      </c>
      <c r="K28" s="213">
        <f>SUM(B28+D28+F28+H28+J28)</f>
        <v>0</v>
      </c>
    </row>
    <row r="29" spans="1:12" x14ac:dyDescent="0.2">
      <c r="A29" s="214" t="s">
        <v>156</v>
      </c>
      <c r="B29" s="213">
        <f>SUM(B18-B28)</f>
        <v>0</v>
      </c>
      <c r="C29" s="214" t="s">
        <v>156</v>
      </c>
      <c r="D29" s="213">
        <f>SUM(D18-D28)</f>
        <v>0</v>
      </c>
      <c r="E29" s="214" t="s">
        <v>156</v>
      </c>
      <c r="F29" s="213">
        <f>SUM(F18-F28)</f>
        <v>0</v>
      </c>
      <c r="G29" s="214" t="s">
        <v>156</v>
      </c>
      <c r="H29" s="213">
        <f>SUM(H18-H28)</f>
        <v>0</v>
      </c>
      <c r="I29" s="214" t="s">
        <v>156</v>
      </c>
      <c r="J29" s="213">
        <f>SUM(J18-J28)</f>
        <v>0</v>
      </c>
      <c r="K29" s="223">
        <f>SUM(B29+D29+F29+H29+J29)</f>
        <v>0</v>
      </c>
      <c r="L29" s="24" t="s">
        <v>213</v>
      </c>
    </row>
    <row r="30" spans="1:12" x14ac:dyDescent="0.2">
      <c r="A30" s="214"/>
      <c r="B30" s="243" t="str">
        <f>IF(B29&lt;0,"See Tab B","")</f>
        <v/>
      </c>
      <c r="C30" s="214"/>
      <c r="D30" s="243" t="str">
        <f>IF(D29&lt;0,"See Tab B","")</f>
        <v/>
      </c>
      <c r="E30" s="214"/>
      <c r="F30" s="243" t="str">
        <f>IF(F29&lt;0,"See Tab B","")</f>
        <v/>
      </c>
      <c r="G30" s="28"/>
      <c r="H30" s="243" t="str">
        <f>IF(H29&lt;0,"See Tab B","")</f>
        <v/>
      </c>
      <c r="I30" s="28"/>
      <c r="J30" s="243" t="str">
        <f>IF(J29&lt;0,"See Tab B","")</f>
        <v/>
      </c>
      <c r="K30" s="223">
        <f>SUM(K7+K17-K28)</f>
        <v>0</v>
      </c>
      <c r="L30" s="24" t="s">
        <v>213</v>
      </c>
    </row>
    <row r="31" spans="1:12" x14ac:dyDescent="0.2">
      <c r="A31" s="28"/>
      <c r="B31" s="56"/>
      <c r="C31" s="28"/>
      <c r="D31" s="109"/>
      <c r="E31" s="28"/>
      <c r="F31" s="28"/>
      <c r="G31" s="28"/>
      <c r="H31" s="724" t="s">
        <v>214</v>
      </c>
      <c r="I31" s="724"/>
      <c r="J31" s="724"/>
      <c r="K31" s="724"/>
    </row>
    <row r="32" spans="1:12" x14ac:dyDescent="0.2">
      <c r="A32" s="28"/>
      <c r="B32" s="56"/>
      <c r="C32" s="28"/>
      <c r="D32" s="28"/>
      <c r="E32" s="28"/>
      <c r="F32" s="28"/>
      <c r="G32" s="28"/>
      <c r="H32" s="28"/>
      <c r="I32" s="28"/>
      <c r="J32" s="28"/>
      <c r="K32" s="28"/>
    </row>
    <row r="33" spans="1:11" x14ac:dyDescent="0.2">
      <c r="A33" s="537" t="s">
        <v>541</v>
      </c>
      <c r="B33" s="112"/>
      <c r="C33" s="69"/>
      <c r="D33" s="69"/>
      <c r="E33" s="69"/>
      <c r="F33" s="69"/>
      <c r="G33" s="69"/>
      <c r="H33" s="69"/>
      <c r="I33" s="69"/>
      <c r="J33" s="69"/>
      <c r="K33" s="511"/>
    </row>
    <row r="34" spans="1:11" x14ac:dyDescent="0.2">
      <c r="A34" s="534"/>
      <c r="B34" s="56"/>
      <c r="C34" s="28"/>
      <c r="D34" s="28"/>
      <c r="E34" s="28"/>
      <c r="F34" s="28"/>
      <c r="G34" s="28"/>
      <c r="H34" s="28"/>
      <c r="I34" s="28"/>
      <c r="J34" s="28"/>
      <c r="K34" s="535"/>
    </row>
    <row r="35" spans="1:11" x14ac:dyDescent="0.2">
      <c r="A35" s="514"/>
      <c r="B35" s="111"/>
      <c r="C35" s="43"/>
      <c r="D35" s="43"/>
      <c r="E35" s="43"/>
      <c r="F35" s="43"/>
      <c r="G35" s="43"/>
      <c r="H35" s="43"/>
      <c r="I35" s="43"/>
      <c r="J35" s="43"/>
      <c r="K35" s="49"/>
    </row>
    <row r="36" spans="1:11" x14ac:dyDescent="0.2">
      <c r="A36" s="28"/>
      <c r="B36" s="56"/>
      <c r="C36" s="28"/>
      <c r="D36" s="28"/>
      <c r="E36" s="28"/>
      <c r="F36" s="28"/>
      <c r="G36" s="28"/>
      <c r="H36" s="28"/>
      <c r="I36" s="28"/>
      <c r="J36" s="28"/>
      <c r="K36" s="28"/>
    </row>
    <row r="37" spans="1:11" x14ac:dyDescent="0.2">
      <c r="A37" s="28"/>
      <c r="B37" s="56"/>
      <c r="C37" s="28"/>
      <c r="D37" s="28"/>
      <c r="E37" s="80" t="s">
        <v>78</v>
      </c>
      <c r="F37" s="464"/>
      <c r="G37" s="28"/>
      <c r="H37" s="28"/>
      <c r="I37" s="28"/>
      <c r="J37" s="28"/>
      <c r="K37" s="28"/>
    </row>
    <row r="38" spans="1:11" x14ac:dyDescent="0.2">
      <c r="B38" s="224"/>
    </row>
    <row r="39" spans="1:11" x14ac:dyDescent="0.2">
      <c r="B39" s="224"/>
    </row>
    <row r="40" spans="1:11" x14ac:dyDescent="0.2">
      <c r="B40" s="224"/>
    </row>
    <row r="41" spans="1:11" x14ac:dyDescent="0.2">
      <c r="B41" s="224"/>
    </row>
    <row r="42" spans="1:11" x14ac:dyDescent="0.2">
      <c r="B42" s="224"/>
    </row>
    <row r="43" spans="1:11" x14ac:dyDescent="0.2">
      <c r="B43" s="224"/>
    </row>
    <row r="44" spans="1:11" x14ac:dyDescent="0.2">
      <c r="B44" s="224"/>
    </row>
    <row r="45" spans="1:11" x14ac:dyDescent="0.2">
      <c r="B45" s="224"/>
    </row>
  </sheetData>
  <sheetProtection sheet="1" objects="1" scenarios="1"/>
  <mergeCells count="6">
    <mergeCell ref="H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election activeCell="E97" sqref="E97"/>
    </sheetView>
  </sheetViews>
  <sheetFormatPr defaultColWidth="8.88671875" defaultRowHeight="15" x14ac:dyDescent="0.2"/>
  <cols>
    <col min="1" max="1" width="70.5546875" style="64" customWidth="1"/>
    <col min="2" max="16384" width="8.88671875" style="64"/>
  </cols>
  <sheetData>
    <row r="1" spans="1:1" ht="18.75" x14ac:dyDescent="0.3">
      <c r="A1" s="300" t="s">
        <v>223</v>
      </c>
    </row>
    <row r="2" spans="1:1" ht="15.75" x14ac:dyDescent="0.25">
      <c r="A2" s="1"/>
    </row>
    <row r="3" spans="1:1" ht="57" customHeight="1" x14ac:dyDescent="0.25">
      <c r="A3" s="301" t="s">
        <v>224</v>
      </c>
    </row>
    <row r="4" spans="1:1" ht="15.75" x14ac:dyDescent="0.25">
      <c r="A4" s="299"/>
    </row>
    <row r="5" spans="1:1" ht="15.75" x14ac:dyDescent="0.25">
      <c r="A5" s="1"/>
    </row>
    <row r="6" spans="1:1" ht="44.25" customHeight="1" x14ac:dyDescent="0.25">
      <c r="A6" s="301" t="s">
        <v>225</v>
      </c>
    </row>
    <row r="7" spans="1:1" ht="15.75" x14ac:dyDescent="0.25">
      <c r="A7" s="1"/>
    </row>
    <row r="8" spans="1:1" ht="15.75" x14ac:dyDescent="0.25">
      <c r="A8" s="299"/>
    </row>
    <row r="9" spans="1:1" ht="46.5" customHeight="1" x14ac:dyDescent="0.25">
      <c r="A9" s="301" t="s">
        <v>226</v>
      </c>
    </row>
    <row r="10" spans="1:1" ht="15.75" x14ac:dyDescent="0.25">
      <c r="A10" s="1"/>
    </row>
    <row r="11" spans="1:1" ht="15.75" x14ac:dyDescent="0.25">
      <c r="A11" s="299"/>
    </row>
    <row r="12" spans="1:1" ht="60" customHeight="1" x14ac:dyDescent="0.25">
      <c r="A12" s="301" t="s">
        <v>227</v>
      </c>
    </row>
    <row r="13" spans="1:1" ht="15.75" x14ac:dyDescent="0.25">
      <c r="A13" s="1"/>
    </row>
    <row r="14" spans="1:1" ht="15.75" x14ac:dyDescent="0.25">
      <c r="A14" s="1"/>
    </row>
    <row r="15" spans="1:1" ht="61.5" customHeight="1" x14ac:dyDescent="0.25">
      <c r="A15" s="301" t="s">
        <v>228</v>
      </c>
    </row>
    <row r="16" spans="1:1" ht="15.75" x14ac:dyDescent="0.25">
      <c r="A16" s="1"/>
    </row>
    <row r="17" spans="1:1" ht="15.75" x14ac:dyDescent="0.25">
      <c r="A17" s="1"/>
    </row>
    <row r="18" spans="1:1" ht="59.25" customHeight="1" x14ac:dyDescent="0.25">
      <c r="A18" s="301" t="s">
        <v>229</v>
      </c>
    </row>
    <row r="19" spans="1:1" ht="15.75" x14ac:dyDescent="0.25">
      <c r="A19" s="1"/>
    </row>
    <row r="20" spans="1:1" ht="15.75" x14ac:dyDescent="0.25">
      <c r="A20" s="1"/>
    </row>
    <row r="21" spans="1:1" ht="61.5" customHeight="1" x14ac:dyDescent="0.25">
      <c r="A21" s="301" t="s">
        <v>230</v>
      </c>
    </row>
    <row r="22" spans="1:1" ht="15.75" x14ac:dyDescent="0.25">
      <c r="A22" s="299"/>
    </row>
    <row r="23" spans="1:1" ht="15.75" x14ac:dyDescent="0.25">
      <c r="A23" s="299"/>
    </row>
    <row r="24" spans="1:1" ht="63" customHeight="1" x14ac:dyDescent="0.25">
      <c r="A24" s="301" t="s">
        <v>231</v>
      </c>
    </row>
    <row r="25" spans="1:1" ht="15.75" x14ac:dyDescent="0.25">
      <c r="A25" s="1"/>
    </row>
    <row r="26" spans="1:1" ht="15.75" x14ac:dyDescent="0.25">
      <c r="A26" s="1"/>
    </row>
    <row r="27" spans="1:1" ht="52.5" customHeight="1" x14ac:dyDescent="0.25">
      <c r="A27" s="309" t="s">
        <v>340</v>
      </c>
    </row>
    <row r="28" spans="1:1" ht="15.75" x14ac:dyDescent="0.25">
      <c r="A28" s="1"/>
    </row>
    <row r="29" spans="1:1" ht="15.75" x14ac:dyDescent="0.25">
      <c r="A29" s="1"/>
    </row>
    <row r="30" spans="1:1" ht="44.25" customHeight="1" x14ac:dyDescent="0.25">
      <c r="A30" s="301" t="s">
        <v>232</v>
      </c>
    </row>
    <row r="31" spans="1:1" ht="15.75" x14ac:dyDescent="0.25">
      <c r="A31" s="1"/>
    </row>
    <row r="32" spans="1:1" ht="15.75" x14ac:dyDescent="0.25">
      <c r="A32" s="1"/>
    </row>
    <row r="33" spans="1:1" ht="42.75" customHeight="1" x14ac:dyDescent="0.25">
      <c r="A33" s="301" t="s">
        <v>233</v>
      </c>
    </row>
    <row r="34" spans="1:1" ht="15.75" x14ac:dyDescent="0.25">
      <c r="A34" s="299"/>
    </row>
    <row r="35" spans="1:1" ht="15.75" x14ac:dyDescent="0.25">
      <c r="A35" s="299"/>
    </row>
    <row r="36" spans="1:1" ht="38.25" customHeight="1" x14ac:dyDescent="0.25">
      <c r="A36" s="301" t="s">
        <v>234</v>
      </c>
    </row>
    <row r="37" spans="1:1" ht="15.75" x14ac:dyDescent="0.25">
      <c r="A37" s="299"/>
    </row>
    <row r="38" spans="1:1" ht="15.75" x14ac:dyDescent="0.25">
      <c r="A38" s="1"/>
    </row>
    <row r="39" spans="1:1" ht="75.75" customHeight="1" x14ac:dyDescent="0.25">
      <c r="A39" s="301" t="s">
        <v>235</v>
      </c>
    </row>
    <row r="40" spans="1:1" ht="15.75" x14ac:dyDescent="0.25">
      <c r="A40" s="1"/>
    </row>
    <row r="41" spans="1:1" ht="15.75" x14ac:dyDescent="0.25">
      <c r="A41" s="1"/>
    </row>
    <row r="42" spans="1:1" ht="57.75" customHeight="1" x14ac:dyDescent="0.25">
      <c r="A42" s="301" t="s">
        <v>236</v>
      </c>
    </row>
    <row r="43" spans="1:1" ht="15.75" x14ac:dyDescent="0.25">
      <c r="A43" s="299"/>
    </row>
    <row r="44" spans="1:1" ht="15.75" x14ac:dyDescent="0.25">
      <c r="A44" s="1"/>
    </row>
    <row r="45" spans="1:1" ht="57.75" customHeight="1" x14ac:dyDescent="0.25">
      <c r="A45" s="301" t="s">
        <v>237</v>
      </c>
    </row>
    <row r="46" spans="1:1" ht="15.75" x14ac:dyDescent="0.25">
      <c r="A46" s="1"/>
    </row>
    <row r="47" spans="1:1" ht="15.75" x14ac:dyDescent="0.25">
      <c r="A47" s="1"/>
    </row>
    <row r="48" spans="1:1" ht="41.25" customHeight="1" x14ac:dyDescent="0.25">
      <c r="A48" s="301" t="s">
        <v>238</v>
      </c>
    </row>
    <row r="49" spans="1:1" ht="15.75" x14ac:dyDescent="0.25">
      <c r="A49" s="1"/>
    </row>
    <row r="50" spans="1:1" ht="15.75" x14ac:dyDescent="0.25">
      <c r="A50" s="1"/>
    </row>
    <row r="51" spans="1:1" ht="75" customHeight="1" x14ac:dyDescent="0.25">
      <c r="A51" s="301" t="s">
        <v>239</v>
      </c>
    </row>
    <row r="52" spans="1:1" ht="15.75" x14ac:dyDescent="0.25">
      <c r="A52" s="299"/>
    </row>
    <row r="53" spans="1:1" ht="15.75" x14ac:dyDescent="0.25">
      <c r="A53" s="299"/>
    </row>
    <row r="54" spans="1:1" ht="57.75" customHeight="1" x14ac:dyDescent="0.25">
      <c r="A54" s="301" t="s">
        <v>240</v>
      </c>
    </row>
    <row r="55" spans="1:1" ht="15.75" x14ac:dyDescent="0.25">
      <c r="A55" s="1"/>
    </row>
    <row r="56" spans="1:1" ht="15.75" x14ac:dyDescent="0.25">
      <c r="A56" s="1"/>
    </row>
    <row r="57" spans="1:1" ht="44.25" customHeight="1" x14ac:dyDescent="0.25">
      <c r="A57" s="301" t="s">
        <v>241</v>
      </c>
    </row>
    <row r="58" spans="1:1" ht="15.75" x14ac:dyDescent="0.25">
      <c r="A58" s="1"/>
    </row>
    <row r="59" spans="1:1" ht="15.75" x14ac:dyDescent="0.25">
      <c r="A59" s="1"/>
    </row>
    <row r="60" spans="1:1" ht="60" customHeight="1" x14ac:dyDescent="0.25">
      <c r="A60" s="301" t="s">
        <v>242</v>
      </c>
    </row>
    <row r="61" spans="1:1" ht="15.75" x14ac:dyDescent="0.25">
      <c r="A61" s="299"/>
    </row>
    <row r="62" spans="1:1" ht="15.75" x14ac:dyDescent="0.25">
      <c r="A62" s="299"/>
    </row>
    <row r="63" spans="1:1" ht="57.75" customHeight="1" x14ac:dyDescent="0.25">
      <c r="A63" s="301" t="s">
        <v>243</v>
      </c>
    </row>
    <row r="64" spans="1:1" ht="15.75" x14ac:dyDescent="0.25">
      <c r="A64" s="1"/>
    </row>
    <row r="65" spans="1:1" ht="15.75" x14ac:dyDescent="0.25">
      <c r="A65" s="1"/>
    </row>
    <row r="66" spans="1:1" ht="60" customHeight="1" x14ac:dyDescent="0.25">
      <c r="A66" s="301" t="s">
        <v>244</v>
      </c>
    </row>
  </sheetData>
  <sheetProtection sheet="1" objects="1" scenarios="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72"/>
  <sheetViews>
    <sheetView topLeftCell="B16" zoomScale="90" zoomScaleNormal="90" workbookViewId="0">
      <selection activeCell="F62" sqref="F62"/>
    </sheetView>
  </sheetViews>
  <sheetFormatPr defaultColWidth="8.88671875" defaultRowHeight="15.75" x14ac:dyDescent="0.2"/>
  <cols>
    <col min="1" max="1" width="20.77734375" style="24" customWidth="1"/>
    <col min="2" max="2" width="15.77734375" style="24" customWidth="1"/>
    <col min="3" max="3" width="8.77734375" style="24" customWidth="1"/>
    <col min="4" max="4" width="15.77734375" style="24" customWidth="1"/>
    <col min="5" max="5" width="9.109375" style="24" customWidth="1"/>
    <col min="6" max="6" width="14.6640625" style="24" customWidth="1"/>
    <col min="7" max="7" width="12.77734375" style="24" customWidth="1"/>
    <col min="8" max="8" width="10.109375" style="24" customWidth="1"/>
    <col min="9" max="9" width="8.88671875" style="24"/>
    <col min="10" max="10" width="12.44140625" style="24" customWidth="1"/>
    <col min="11" max="11" width="12.33203125" style="24" customWidth="1"/>
    <col min="12" max="12" width="10.5546875" style="24" customWidth="1"/>
    <col min="13" max="13" width="12.109375" style="24" customWidth="1"/>
    <col min="14" max="16384" width="8.88671875" style="24"/>
  </cols>
  <sheetData>
    <row r="1" spans="1:9" x14ac:dyDescent="0.2">
      <c r="A1" s="740" t="s">
        <v>120</v>
      </c>
      <c r="B1" s="740"/>
      <c r="C1" s="740"/>
      <c r="D1" s="740"/>
      <c r="E1" s="740"/>
      <c r="F1" s="740"/>
      <c r="G1" s="740"/>
      <c r="H1" s="740"/>
      <c r="I1" s="225"/>
    </row>
    <row r="2" spans="1:9" ht="18" customHeight="1" x14ac:dyDescent="0.2">
      <c r="A2" s="28"/>
      <c r="B2" s="28"/>
      <c r="C2" s="28"/>
      <c r="D2" s="28"/>
      <c r="E2" s="28"/>
      <c r="F2" s="28"/>
      <c r="G2" s="28"/>
      <c r="H2" s="28">
        <f>inputPrYr!$C$6</f>
        <v>2024</v>
      </c>
    </row>
    <row r="3" spans="1:9" ht="18" customHeight="1" x14ac:dyDescent="0.2">
      <c r="A3" s="664" t="s">
        <v>80</v>
      </c>
      <c r="B3" s="664"/>
      <c r="C3" s="664"/>
      <c r="D3" s="664"/>
      <c r="E3" s="664"/>
      <c r="F3" s="664"/>
      <c r="G3" s="664"/>
      <c r="H3" s="664"/>
    </row>
    <row r="4" spans="1:9" x14ac:dyDescent="0.2">
      <c r="A4" s="635" t="str">
        <f>inputPrYr!D3</f>
        <v>Wellsville</v>
      </c>
      <c r="B4" s="635"/>
      <c r="C4" s="635"/>
      <c r="D4" s="635"/>
      <c r="E4" s="635"/>
      <c r="F4" s="635"/>
      <c r="G4" s="635"/>
      <c r="H4" s="635"/>
    </row>
    <row r="5" spans="1:9" ht="18" customHeight="1" x14ac:dyDescent="0.25">
      <c r="A5" s="745" t="str">
        <f>CONCATENATE("will meet on ",inputHearing!B18," at ",inputHearing!B20," at ",inputHearing!B22," for the purpose of hearing and")</f>
        <v>will meet on  at  at  for the purpose of hearing and</v>
      </c>
      <c r="B5" s="745"/>
      <c r="C5" s="745"/>
      <c r="D5" s="745"/>
      <c r="E5" s="745"/>
      <c r="F5" s="745"/>
      <c r="G5" s="745"/>
      <c r="H5" s="745"/>
    </row>
    <row r="6" spans="1:9" ht="16.5" customHeight="1" x14ac:dyDescent="0.2">
      <c r="A6" s="664" t="s">
        <v>307</v>
      </c>
      <c r="B6" s="664"/>
      <c r="C6" s="664"/>
      <c r="D6" s="664"/>
      <c r="E6" s="664"/>
      <c r="F6" s="664"/>
      <c r="G6" s="664"/>
      <c r="H6" s="664"/>
    </row>
    <row r="7" spans="1:9" ht="16.5" customHeight="1" x14ac:dyDescent="0.2">
      <c r="A7" s="741" t="str">
        <f>CONCATENATE("Detailed budget information is available at ",inputHearing!B24," and will be available at this hearing.")</f>
        <v>Detailed budget information is available at  and will be available at this hearing.</v>
      </c>
      <c r="B7" s="741"/>
      <c r="C7" s="741"/>
      <c r="D7" s="741"/>
      <c r="E7" s="741"/>
      <c r="F7" s="741"/>
      <c r="G7" s="741"/>
      <c r="H7" s="741"/>
    </row>
    <row r="8" spans="1:9" x14ac:dyDescent="0.2">
      <c r="A8" s="32" t="s">
        <v>121</v>
      </c>
      <c r="B8" s="33"/>
      <c r="C8" s="33"/>
      <c r="D8" s="33"/>
      <c r="E8" s="33"/>
      <c r="F8" s="33"/>
      <c r="G8" s="33"/>
      <c r="H8" s="33"/>
    </row>
    <row r="9" spans="1:9" x14ac:dyDescent="0.2">
      <c r="A9" s="81" t="str">
        <f>CONCATENATE("Proposed Budget ",H2," Expenditures and Amount of ",H2-1," Ad Valorem Tax establish the maximum limits of the ",H2," budget.")</f>
        <v>Proposed Budget 2024 Expenditures and Amount of 2023 Ad Valorem Tax establish the maximum limits of the 2024 budget.</v>
      </c>
      <c r="B9" s="33"/>
      <c r="C9" s="33"/>
      <c r="D9" s="33"/>
      <c r="E9" s="33"/>
      <c r="F9" s="33"/>
      <c r="G9" s="33"/>
      <c r="H9" s="33"/>
    </row>
    <row r="10" spans="1:9" x14ac:dyDescent="0.2">
      <c r="A10" s="81" t="s">
        <v>143</v>
      </c>
      <c r="B10" s="33"/>
      <c r="C10" s="33"/>
      <c r="D10" s="33"/>
      <c r="E10" s="33"/>
      <c r="F10" s="33"/>
      <c r="G10" s="33"/>
      <c r="H10" s="33"/>
    </row>
    <row r="11" spans="1:9" x14ac:dyDescent="0.2">
      <c r="A11" s="28"/>
      <c r="B11" s="195"/>
      <c r="C11" s="195"/>
      <c r="D11" s="195"/>
      <c r="E11" s="195"/>
      <c r="F11" s="195"/>
      <c r="G11" s="195"/>
      <c r="H11" s="195"/>
    </row>
    <row r="12" spans="1:9" x14ac:dyDescent="0.2">
      <c r="A12" s="28"/>
      <c r="B12" s="226" t="str">
        <f>CONCATENATE("Prior Year Actual for ",H2-2,"")</f>
        <v>Prior Year Actual for 2022</v>
      </c>
      <c r="C12" s="84"/>
      <c r="D12" s="226" t="str">
        <f>CONCATENATE("Current Year Estimate for ",H2-1,"")</f>
        <v>Current Year Estimate for 2023</v>
      </c>
      <c r="E12" s="84"/>
      <c r="F12" s="82" t="str">
        <f>CONCATENATE("Proposed Budget Year for ",H2,"")</f>
        <v>Proposed Budget Year for 2024</v>
      </c>
      <c r="G12" s="83"/>
      <c r="H12" s="84"/>
    </row>
    <row r="13" spans="1:9" ht="29.25" customHeight="1" x14ac:dyDescent="0.2">
      <c r="A13" s="28"/>
      <c r="B13" s="751" t="s">
        <v>83</v>
      </c>
      <c r="C13" s="731" t="s">
        <v>720</v>
      </c>
      <c r="D13" s="751" t="s">
        <v>83</v>
      </c>
      <c r="E13" s="731" t="s">
        <v>720</v>
      </c>
      <c r="F13" s="729" t="s">
        <v>719</v>
      </c>
      <c r="G13" s="731" t="str">
        <f>CONCATENATE("Amount of ",H2-1," Ad Valorem Tax")</f>
        <v>Amount of 2023 Ad Valorem Tax</v>
      </c>
      <c r="H13" s="731" t="s">
        <v>721</v>
      </c>
    </row>
    <row r="14" spans="1:9" ht="16.5" customHeight="1" x14ac:dyDescent="0.2">
      <c r="A14" s="52" t="s">
        <v>82</v>
      </c>
      <c r="B14" s="752"/>
      <c r="C14" s="732"/>
      <c r="D14" s="752"/>
      <c r="E14" s="732"/>
      <c r="F14" s="730"/>
      <c r="G14" s="732"/>
      <c r="H14" s="732"/>
    </row>
    <row r="15" spans="1:9" x14ac:dyDescent="0.2">
      <c r="A15" s="52" t="str">
        <f>inputPrYr!B18</f>
        <v>General</v>
      </c>
      <c r="B15" s="52">
        <f>IF(General!$C$108&lt;&gt;0,General!$C$108,"  ")</f>
        <v>1209546</v>
      </c>
      <c r="C15" s="227">
        <f>IF(inputPrYr!D85&gt;0,inputPrYr!D85,"  ")</f>
        <v>38.634999999999998</v>
      </c>
      <c r="D15" s="52">
        <f>IF(General!$D$108&lt;&gt;0,General!$D$108,"  ")</f>
        <v>1366017</v>
      </c>
      <c r="E15" s="227">
        <f>IF(inputOth!D24&gt;0,inputOth!D24,"  ")</f>
        <v>39.895000000000003</v>
      </c>
      <c r="F15" s="52">
        <f>IF(General!$E$108&lt;&gt;0,General!$E$108,"  ")</f>
        <v>1537582</v>
      </c>
      <c r="G15" s="52">
        <f>IF(General!$E$115&lt;&gt;0,General!$E$115,"  ")</f>
        <v>936812</v>
      </c>
      <c r="H15" s="227">
        <f>IF(General!E115&gt;0,ROUND(G15/$F$58*1000,3),"")</f>
        <v>44.917999999999999</v>
      </c>
    </row>
    <row r="16" spans="1:9" x14ac:dyDescent="0.2">
      <c r="A16" s="52" t="str">
        <f>inputPrYr!B19</f>
        <v>Debt Service</v>
      </c>
      <c r="B16" s="52">
        <f>IF('DebtSvs-Library'!C33&lt;&gt;0,'DebtSvs-Library'!C33,"  ")</f>
        <v>42600</v>
      </c>
      <c r="C16" s="227">
        <f>IF(inputPrYr!D86&gt;0,inputPrYr!D86,"  ")</f>
        <v>0.26700000000000002</v>
      </c>
      <c r="D16" s="52">
        <f>IF('DebtSvs-Library'!D33&lt;&gt;0,'DebtSvs-Library'!D33,"  ")</f>
        <v>45000</v>
      </c>
      <c r="E16" s="227">
        <f>IF(inputOth!D25&gt;0,inputOth!D25,"  ")</f>
        <v>2.327</v>
      </c>
      <c r="F16" s="52">
        <f>IF('DebtSvs-Library'!E33&lt;&gt;0,'DebtSvs-Library'!E33,"  ")</f>
        <v>49000</v>
      </c>
      <c r="G16" s="52">
        <f>IF('DebtSvs-Library'!E40&lt;&gt;0,'DebtSvs-Library'!E40,"  ")</f>
        <v>45070</v>
      </c>
      <c r="H16" s="227">
        <f>IF('DebtSvs-Library'!E40&gt;0,ROUND(G16/$F$58*1000,3),"  ")</f>
        <v>2.161</v>
      </c>
    </row>
    <row r="17" spans="1:8" x14ac:dyDescent="0.2">
      <c r="A17" s="52" t="str">
        <f>IF(inputPrYr!$B20&gt;"  ",(inputPrYr!$B20),"  ")</f>
        <v>Library</v>
      </c>
      <c r="B17" s="52">
        <f>IF('DebtSvs-Library'!C73&lt;&gt;0,'DebtSvs-Library'!C73,"  ")</f>
        <v>91508</v>
      </c>
      <c r="C17" s="227">
        <f>IF(inputPrYr!D87&gt;0,inputPrYr!D87,"  ")</f>
        <v>4.7169999999999996</v>
      </c>
      <c r="D17" s="52">
        <f>IF('DebtSvs-Library'!D73&lt;&gt;0,'DebtSvs-Library'!D73,"  ")</f>
        <v>99787</v>
      </c>
      <c r="E17" s="227">
        <f>IF(inputOth!D26&gt;0,inputOth!D26,"  ")</f>
        <v>4.7750000000000004</v>
      </c>
      <c r="F17" s="52">
        <f>IF('DebtSvs-Library'!E73&lt;&gt;0,'DebtSvs-Library'!E73,"  ")</f>
        <v>106682</v>
      </c>
      <c r="G17" s="52">
        <f>IF('DebtSvs-Library'!E80&lt;&gt;0,'DebtSvs-Library'!E80,"  ")</f>
        <v>95503</v>
      </c>
      <c r="H17" s="227">
        <f>IF('DebtSvs-Library'!E80&lt;&gt;0,ROUND(G17/$F$58*1000,3),"  ")</f>
        <v>4.5789999999999997</v>
      </c>
    </row>
    <row r="18" spans="1:8" x14ac:dyDescent="0.2">
      <c r="A18" s="52" t="str">
        <f>IF(inputPrYr!$B22&gt;"  ",(inputPrYr!$B22),"  ")</f>
        <v>Employee Benefits</v>
      </c>
      <c r="B18" s="52">
        <f>IF('Employ Benys'!$C$32&gt;0,'Employ Benys'!$C$32,"  ")</f>
        <v>103324</v>
      </c>
      <c r="C18" s="227">
        <f>IF(inputPrYr!D88&gt;0,inputPrYr!D88,"  ")</f>
        <v>5.9939999999999998</v>
      </c>
      <c r="D18" s="52">
        <f>IF('Employ Benys'!$D$32&gt;0,'Employ Benys'!$D$32,"  ")</f>
        <v>125000</v>
      </c>
      <c r="E18" s="227">
        <f>IF(inputOth!D27&gt;0,inputOth!D27,"  ")</f>
        <v>5.8029999999999999</v>
      </c>
      <c r="F18" s="52">
        <f>IF('Employ Benys'!$E$32&gt;0,'Employ Benys'!$E$32,"  ")</f>
        <v>140000</v>
      </c>
      <c r="G18" s="52">
        <f>IF('Employ Benys'!$E$39&lt;&gt;0,'Employ Benys'!$E$39,"  ")</f>
        <v>107998</v>
      </c>
      <c r="H18" s="227">
        <f>IF('Employ Benys'!E39&lt;&gt;0,ROUND(G18/$F$58*1000,3),"  ")</f>
        <v>5.1779999999999999</v>
      </c>
    </row>
    <row r="19" spans="1:8" x14ac:dyDescent="0.2">
      <c r="A19" s="52" t="str">
        <f>IF(inputPrYr!$B23&gt;"  ",(inputPrYr!$B23),"  ")</f>
        <v>Library Employee Benefits</v>
      </c>
      <c r="B19" s="52">
        <f>IF('Employ Benys'!$C$72&gt;0,'Employ Benys'!$C$72,"  ")</f>
        <v>7860</v>
      </c>
      <c r="C19" s="227">
        <f>IF(inputPrYr!D89&gt;0,inputPrYr!D89,"  ")</f>
        <v>0.46</v>
      </c>
      <c r="D19" s="52">
        <f>IF('Employ Benys'!$D$72&gt;0,'Employ Benys'!$D$72,"  ")</f>
        <v>8600</v>
      </c>
      <c r="E19" s="227">
        <f>IF(inputOth!D28&gt;0,inputOth!D28,"  ")</f>
        <v>0.40699999999999997</v>
      </c>
      <c r="F19" s="52">
        <f>IF('Employ Benys'!$E$72&gt;0,'Employ Benys'!$E$72,"  ")</f>
        <v>8600</v>
      </c>
      <c r="G19" s="52">
        <f>IF('Employ Benys'!$E$79&lt;&gt;0,'Employ Benys'!$E$79,"  ")</f>
        <v>7895</v>
      </c>
      <c r="H19" s="227">
        <f>IF('Employ Benys'!E79&lt;&gt;0,ROUND(G19/$F$58*1000,3),"  ")</f>
        <v>0.379</v>
      </c>
    </row>
    <row r="20" spans="1:8" x14ac:dyDescent="0.2">
      <c r="A20" s="52" t="str">
        <f>IF(inputPrYr!$B24&gt;"  ",(inputPrYr!$B24),"  ")</f>
        <v>Special Tort Claim</v>
      </c>
      <c r="B20" s="52">
        <f>IF(tort!$C$33&gt;0,tort!$C$33,"  ")</f>
        <v>33920</v>
      </c>
      <c r="C20" s="227">
        <f>IF(inputPrYr!D90&gt;0,inputPrYr!D90,"  ")</f>
        <v>1.5049999999999999</v>
      </c>
      <c r="D20" s="52">
        <f>IF(tort!$D$33&gt;0,tort!$D$33,"  ")</f>
        <v>40000</v>
      </c>
      <c r="E20" s="227">
        <f>IF(inputOth!D29&gt;0,inputOth!D29,"  ")</f>
        <v>1.748</v>
      </c>
      <c r="F20" s="52">
        <f>IF(tort!$E$33&gt;0,tort!$E$33,"  ")</f>
        <v>42000</v>
      </c>
      <c r="G20" s="52">
        <f>IF(tort!$E$40&lt;&gt;0,tort!$E$40,"  ")</f>
        <v>36032</v>
      </c>
      <c r="H20" s="227">
        <f>IF(tort!E40&lt;&gt;0,ROUND(G20/$F$58*1000,3),"  ")</f>
        <v>1.728</v>
      </c>
    </row>
    <row r="21" spans="1:8" x14ac:dyDescent="0.2">
      <c r="A21" s="52" t="str">
        <f>IF(inputPrYr!$B25&gt;"  ",(inputPrYr!$B25),"  ")</f>
        <v xml:space="preserve">  </v>
      </c>
      <c r="B21" s="52" t="str">
        <f>IF(tort!$C$72&gt;0,tort!$C$72,"  ")</f>
        <v xml:space="preserve">  </v>
      </c>
      <c r="C21" s="227" t="str">
        <f>IF(inputPrYr!D91&gt;0,inputPrYr!D91,"  ")</f>
        <v xml:space="preserve">  </v>
      </c>
      <c r="D21" s="52" t="str">
        <f>IF(tort!$D$72&gt;0,tort!$D$72,"  ")</f>
        <v xml:space="preserve">  </v>
      </c>
      <c r="E21" s="227" t="str">
        <f>IF(inputOth!D30&gt;0,inputOth!D30,"  ")</f>
        <v xml:space="preserve">  </v>
      </c>
      <c r="F21" s="52" t="str">
        <f>IF(tort!$E$72&gt;0,tort!$E$72,"  ")</f>
        <v xml:space="preserve">  </v>
      </c>
      <c r="G21" s="52" t="str">
        <f>IF(tort!$E$79&lt;&gt;0,tort!$E$79,"  ")</f>
        <v xml:space="preserve">  </v>
      </c>
      <c r="H21" s="227" t="str">
        <f>IF(tort!E79&lt;&gt;0,ROUND(G21/$F$58*1000,3),"  ")</f>
        <v xml:space="preserve">  </v>
      </c>
    </row>
    <row r="22" spans="1:8" x14ac:dyDescent="0.2">
      <c r="A22" s="52" t="str">
        <f>IF(inputPrYr!$B26&gt;"  ",(inputPrYr!$B26),"  ")</f>
        <v xml:space="preserve">  </v>
      </c>
      <c r="B22" s="52" t="e">
        <f>IF(#REF!&gt;0,#REF!,"  ")</f>
        <v>#REF!</v>
      </c>
      <c r="C22" s="227" t="str">
        <f>IF(inputPrYr!D92&gt;0,inputPrYr!D92,"  ")</f>
        <v xml:space="preserve">  </v>
      </c>
      <c r="D22" s="52" t="e">
        <f>IF(#REF!&gt;0,#REF!,"  ")</f>
        <v>#REF!</v>
      </c>
      <c r="E22" s="227" t="str">
        <f>IF(inputOth!D31&gt;0,inputOth!D31,"  ")</f>
        <v xml:space="preserve">  </v>
      </c>
      <c r="F22" s="52" t="e">
        <f>IF(#REF!&gt;0,#REF!,"  ")</f>
        <v>#REF!</v>
      </c>
      <c r="G22" s="52" t="e">
        <f>IF(#REF!&lt;&gt;0,#REF!,"  ")</f>
        <v>#REF!</v>
      </c>
      <c r="H22" s="227" t="e">
        <f>IF(#REF!&lt;&gt;0,ROUND(G22/$F$58*1000,3),"  ")</f>
        <v>#REF!</v>
      </c>
    </row>
    <row r="23" spans="1:8" x14ac:dyDescent="0.2">
      <c r="A23" s="52" t="str">
        <f>IF(inputPrYr!$B27&gt;"  ",(inputPrYr!$B27),"  ")</f>
        <v xml:space="preserve">  </v>
      </c>
      <c r="B23" s="52" t="e">
        <f>IF(#REF!&gt;0,#REF!,"  ")</f>
        <v>#REF!</v>
      </c>
      <c r="C23" s="227" t="str">
        <f>IF(inputPrYr!D93&gt;0,inputPrYr!D93,"  ")</f>
        <v xml:space="preserve">  </v>
      </c>
      <c r="D23" s="52" t="e">
        <f>IF(#REF!&gt;0,#REF!,"  ")</f>
        <v>#REF!</v>
      </c>
      <c r="E23" s="227" t="str">
        <f>IF(inputOth!D32&gt;0,inputOth!D32,"  ")</f>
        <v xml:space="preserve">  </v>
      </c>
      <c r="F23" s="52" t="e">
        <f>IF(#REF!&gt;0,#REF!,"  ")</f>
        <v>#REF!</v>
      </c>
      <c r="G23" s="52" t="e">
        <f>IF(#REF!&lt;&gt;0,#REF!,"  ")</f>
        <v>#REF!</v>
      </c>
      <c r="H23" s="227" t="e">
        <f>IF(#REF!&lt;&gt;0,ROUND(G23/$F$58*1000,3),"  ")</f>
        <v>#REF!</v>
      </c>
    </row>
    <row r="24" spans="1:8" x14ac:dyDescent="0.2">
      <c r="A24" s="52" t="str">
        <f>IF(inputPrYr!$B28&gt;"  ",(inputPrYr!$B28),"  ")</f>
        <v xml:space="preserve">  </v>
      </c>
      <c r="B24" s="52" t="e">
        <f>IF(#REF!&gt;0,#REF!,"  ")</f>
        <v>#REF!</v>
      </c>
      <c r="C24" s="227" t="str">
        <f>IF(inputPrYr!D94&gt;0,inputPrYr!D94,"  ")</f>
        <v xml:space="preserve">  </v>
      </c>
      <c r="D24" s="52" t="e">
        <f>IF(#REF!&gt;0,#REF!,"  ")</f>
        <v>#REF!</v>
      </c>
      <c r="E24" s="227" t="str">
        <f>IF(inputOth!D33&gt;0,inputOth!D33,"  ")</f>
        <v xml:space="preserve">  </v>
      </c>
      <c r="F24" s="52" t="e">
        <f>IF(#REF!&gt;0,#REF!,"  ")</f>
        <v>#REF!</v>
      </c>
      <c r="G24" s="52" t="e">
        <f>IF(#REF!&lt;&gt;0,#REF!,"  ")</f>
        <v>#REF!</v>
      </c>
      <c r="H24" s="227" t="e">
        <f>IF(#REF!&lt;&gt;0,ROUND(G24/$F$58*1000,3),"  ")</f>
        <v>#REF!</v>
      </c>
    </row>
    <row r="25" spans="1:8" x14ac:dyDescent="0.2">
      <c r="A25" s="52" t="str">
        <f>IF(inputPrYr!$B29&gt;"  ",(inputPrYr!$B29),"  ")</f>
        <v xml:space="preserve">  </v>
      </c>
      <c r="B25" s="52" t="e">
        <f>IF(#REF!&gt;0,#REF!,"  ")</f>
        <v>#REF!</v>
      </c>
      <c r="C25" s="227" t="str">
        <f>IF(inputPrYr!D95&gt;0,inputPrYr!D95,"  ")</f>
        <v xml:space="preserve">  </v>
      </c>
      <c r="D25" s="52" t="e">
        <f>IF(#REF!&gt;0,#REF!,"  ")</f>
        <v>#REF!</v>
      </c>
      <c r="E25" s="227" t="str">
        <f>IF(inputOth!D34&gt;0,inputOth!D34,"  ")</f>
        <v xml:space="preserve">  </v>
      </c>
      <c r="F25" s="52" t="e">
        <f>IF(#REF!&gt;0,#REF!,"  ")</f>
        <v>#REF!</v>
      </c>
      <c r="G25" s="52" t="e">
        <f>IF(#REF!&lt;&gt;0,#REF!,"  ")</f>
        <v>#REF!</v>
      </c>
      <c r="H25" s="227" t="e">
        <f>IF(#REF!&lt;&gt;0,ROUND(G25/$F$58*1000,3),"  ")</f>
        <v>#REF!</v>
      </c>
    </row>
    <row r="26" spans="1:8" x14ac:dyDescent="0.2">
      <c r="A26" s="52" t="str">
        <f>IF(inputPrYr!$B30&gt;"  ",(inputPrYr!$B30),"  ")</f>
        <v xml:space="preserve">  </v>
      </c>
      <c r="B26" s="52" t="e">
        <f>IF(#REF!&gt;0,#REF!,"  ")</f>
        <v>#REF!</v>
      </c>
      <c r="C26" s="227" t="str">
        <f>IF(inputPrYr!D96&gt;0,inputPrYr!D96,"  ")</f>
        <v xml:space="preserve">  </v>
      </c>
      <c r="D26" s="52" t="e">
        <f>IF(#REF!&gt;0,#REF!,"  ")</f>
        <v>#REF!</v>
      </c>
      <c r="E26" s="227" t="str">
        <f>IF(inputOth!D35&gt;0,inputOth!D35,"  ")</f>
        <v xml:space="preserve">  </v>
      </c>
      <c r="F26" s="52" t="e">
        <f>IF(#REF!&gt;0,#REF!,"  ")</f>
        <v>#REF!</v>
      </c>
      <c r="G26" s="52" t="e">
        <f>IF(#REF!&lt;&gt;0,#REF!,"  ")</f>
        <v>#REF!</v>
      </c>
      <c r="H26" s="227" t="e">
        <f>IF(#REF!&lt;&gt;0,ROUND(G26/$F$58*1000,3),"  ")</f>
        <v>#REF!</v>
      </c>
    </row>
    <row r="27" spans="1:8" x14ac:dyDescent="0.2">
      <c r="A27" s="52" t="str">
        <f>IF(inputPrYr!B31&gt;"  ",(inputPrYr!B31),"  ")</f>
        <v xml:space="preserve">  </v>
      </c>
      <c r="B27" s="52" t="e">
        <f>IF(#REF!&gt;0,#REF!,"  ")</f>
        <v>#REF!</v>
      </c>
      <c r="C27" s="227" t="str">
        <f>IF(inputPrYr!D97&gt;0,inputPrYr!D97,"  ")</f>
        <v xml:space="preserve">  </v>
      </c>
      <c r="D27" s="52" t="e">
        <f>IF(#REF!&gt;0,#REF!,"  ")</f>
        <v>#REF!</v>
      </c>
      <c r="E27" s="227" t="str">
        <f>IF(inputOth!D36&gt;0,inputOth!D36,"  ")</f>
        <v xml:space="preserve">  </v>
      </c>
      <c r="F27" s="52" t="e">
        <f>IF(#REF!&gt;0,#REF!,"  ")</f>
        <v>#REF!</v>
      </c>
      <c r="G27" s="52" t="e">
        <f>IF(#REF!&lt;&gt;0,#REF!,"  ")</f>
        <v>#REF!</v>
      </c>
      <c r="H27" s="227" t="e">
        <f>IF(#REF!&lt;&gt;0,ROUND(G27/$F$58*1000,3),"  ")</f>
        <v>#REF!</v>
      </c>
    </row>
    <row r="28" spans="1:8" x14ac:dyDescent="0.2">
      <c r="A28" s="52" t="str">
        <f>IF(inputPrYr!$B35&gt;"  ",(inputPrYr!$B35),"  ")</f>
        <v>Special Highway</v>
      </c>
      <c r="B28" s="52" t="str">
        <f>IF('Spec Hwy'!$C$26&gt;0,'Spec Hwy'!$C$26,"  ")</f>
        <v xml:space="preserve">  </v>
      </c>
      <c r="C28" s="38"/>
      <c r="D28" s="52" t="str">
        <f>IF('Spec Hwy'!$D$26&gt;0,'Spec Hwy'!$D$26,"  ")</f>
        <v xml:space="preserve">  </v>
      </c>
      <c r="E28" s="38"/>
      <c r="F28" s="52" t="str">
        <f>IF('Spec Hwy'!$E$26&gt;0,'Spec Hwy'!$E$26,"  ")</f>
        <v xml:space="preserve">  </v>
      </c>
      <c r="G28" s="52"/>
      <c r="H28" s="227"/>
    </row>
    <row r="29" spans="1:8" x14ac:dyDescent="0.2">
      <c r="A29" s="52" t="str">
        <f>IF(inputPrYr!$B36&gt;"  ",(inputPrYr!$B36),"  ")</f>
        <v>Building Capital Improvement</v>
      </c>
      <c r="B29" s="52" t="str">
        <f>IF('Spec Hwy'!$C$57&gt;0,'Spec Hwy'!$C$57,"  ")</f>
        <v xml:space="preserve">  </v>
      </c>
      <c r="C29" s="38"/>
      <c r="D29" s="52" t="str">
        <f>IF('Spec Hwy'!$D$57&gt;0,'Spec Hwy'!$D$57,"  ")</f>
        <v xml:space="preserve">  </v>
      </c>
      <c r="E29" s="38"/>
      <c r="F29" s="52" t="str">
        <f>IF('Spec Hwy'!$E$57&gt;0,'Spec Hwy'!$E$57,"  ")</f>
        <v xml:space="preserve">  </v>
      </c>
      <c r="G29" s="52"/>
      <c r="H29" s="227"/>
    </row>
    <row r="30" spans="1:8" x14ac:dyDescent="0.2">
      <c r="A30" s="52" t="str">
        <f>IF(inputPrYr!$B37&gt;"  ",(inputPrYr!$B37),"  ")</f>
        <v>Cemetary Perpetual Care</v>
      </c>
      <c r="B30" s="52" t="str">
        <f>IF(cemetary!$C$28&gt;0,cemetary!$C$28,"  ")</f>
        <v xml:space="preserve">  </v>
      </c>
      <c r="C30" s="38"/>
      <c r="D30" s="52" t="str">
        <f>IF(cemetary!$D$28&gt;0,cemetary!$D$28,"  ")</f>
        <v xml:space="preserve">  </v>
      </c>
      <c r="E30" s="38"/>
      <c r="F30" s="52" t="str">
        <f>IF(cemetary!$E$28&gt;0,cemetary!$E$28,"  ")</f>
        <v xml:space="preserve">  </v>
      </c>
      <c r="G30" s="52"/>
      <c r="H30" s="227"/>
    </row>
    <row r="31" spans="1:8" x14ac:dyDescent="0.2">
      <c r="A31" s="52" t="str">
        <f>IF(inputPrYr!$B38&gt;"  ",(inputPrYr!$B38),"  ")</f>
        <v xml:space="preserve">  </v>
      </c>
      <c r="B31" s="52" t="str">
        <f>IF(cemetary!$C$57&gt;0,cemetary!$C$57,"  ")</f>
        <v xml:space="preserve">  </v>
      </c>
      <c r="C31" s="38"/>
      <c r="D31" s="52" t="str">
        <f>IF(cemetary!$D$57&gt;0,cemetary!$D$57,"  ")</f>
        <v xml:space="preserve">  </v>
      </c>
      <c r="E31" s="38"/>
      <c r="F31" s="52" t="str">
        <f>IF(cemetary!$E$57&gt;0,cemetary!$E$57,"  ")</f>
        <v xml:space="preserve">  </v>
      </c>
      <c r="G31" s="52"/>
      <c r="H31" s="227"/>
    </row>
    <row r="32" spans="1:8" x14ac:dyDescent="0.2">
      <c r="A32" s="52" t="str">
        <f>IF(inputPrYr!$B39&gt;"  ",(inputPrYr!$B39),"  ")</f>
        <v xml:space="preserve">  </v>
      </c>
      <c r="B32" s="52" t="e">
        <f>IF(#REF!&gt;0,#REF!,"  ")</f>
        <v>#REF!</v>
      </c>
      <c r="C32" s="38"/>
      <c r="D32" s="52" t="e">
        <f>IF(#REF!&gt;0,#REF!,"  ")</f>
        <v>#REF!</v>
      </c>
      <c r="E32" s="38"/>
      <c r="F32" s="52" t="e">
        <f>IF(#REF!&gt;0,#REF!,"  ")</f>
        <v>#REF!</v>
      </c>
      <c r="G32" s="38"/>
      <c r="H32" s="38"/>
    </row>
    <row r="33" spans="1:13" x14ac:dyDescent="0.2">
      <c r="A33" s="52" t="str">
        <f>IF(inputPrYr!$B40&gt;"  ",(inputPrYr!$B40),"  ")</f>
        <v xml:space="preserve">  </v>
      </c>
      <c r="B33" s="52" t="e">
        <f>IF(#REF!&gt;0,#REF!,"  ")</f>
        <v>#REF!</v>
      </c>
      <c r="C33" s="38"/>
      <c r="D33" s="52" t="e">
        <f>IF(#REF!&gt;0,#REF!,"  ")</f>
        <v>#REF!</v>
      </c>
      <c r="E33" s="38"/>
      <c r="F33" s="52" t="e">
        <f>IF(#REF!&gt;0,#REF!,"  ")</f>
        <v>#REF!</v>
      </c>
      <c r="G33" s="38"/>
      <c r="H33" s="38"/>
    </row>
    <row r="34" spans="1:13" x14ac:dyDescent="0.2">
      <c r="A34" s="52" t="str">
        <f>IF(inputPrYr!$B41&gt;"  ",(inputPrYr!$B41),"  ")</f>
        <v xml:space="preserve">  </v>
      </c>
      <c r="B34" s="52" t="e">
        <f>IF(#REF!&gt;0,#REF!,"  ")</f>
        <v>#REF!</v>
      </c>
      <c r="C34" s="38"/>
      <c r="D34" s="52" t="e">
        <f>IF(#REF!&gt;0,#REF!,"  ")</f>
        <v>#REF!</v>
      </c>
      <c r="E34" s="38"/>
      <c r="F34" s="52" t="e">
        <f>IF(#REF!&gt;0,#REF!,"  ")</f>
        <v>#REF!</v>
      </c>
      <c r="G34" s="38"/>
      <c r="H34" s="38"/>
    </row>
    <row r="35" spans="1:13" x14ac:dyDescent="0.2">
      <c r="A35" s="52" t="str">
        <f>IF(inputPrYr!$B42&gt;"  ",(inputPrYr!$B42),"  ")</f>
        <v xml:space="preserve">  </v>
      </c>
      <c r="B35" s="52" t="e">
        <f>IF(#REF!&gt;0,#REF!,"  ")</f>
        <v>#REF!</v>
      </c>
      <c r="C35" s="38"/>
      <c r="D35" s="52" t="e">
        <f>IF(#REF!&gt;0,#REF!,"  ")</f>
        <v>#REF!</v>
      </c>
      <c r="E35" s="38"/>
      <c r="F35" s="52" t="e">
        <f>IF(#REF!&gt;0,#REF!,"  ")</f>
        <v>#REF!</v>
      </c>
      <c r="G35" s="38"/>
      <c r="H35" s="38"/>
    </row>
    <row r="36" spans="1:13" x14ac:dyDescent="0.2">
      <c r="A36" s="52" t="str">
        <f>IF(inputPrYr!$B43&gt;"  ",(inputPrYr!$B43),"  ")</f>
        <v xml:space="preserve">  </v>
      </c>
      <c r="B36" s="52" t="e">
        <f>IF(#REF!&gt;0,#REF!,"  ")</f>
        <v>#REF!</v>
      </c>
      <c r="C36" s="38"/>
      <c r="D36" s="52" t="e">
        <f>IF(#REF!&gt;0,#REF!,"  ")</f>
        <v>#REF!</v>
      </c>
      <c r="E36" s="38"/>
      <c r="F36" s="52" t="e">
        <f>IF(#REF!&gt;0,#REF!,"  ")</f>
        <v>#REF!</v>
      </c>
      <c r="G36" s="38"/>
      <c r="H36" s="38"/>
    </row>
    <row r="37" spans="1:13" x14ac:dyDescent="0.2">
      <c r="A37" s="52" t="str">
        <f>IF(inputPrYr!$B44&gt;"  ",(inputPrYr!$B44),"  ")</f>
        <v xml:space="preserve">  </v>
      </c>
      <c r="B37" s="52" t="e">
        <f>IF(#REF!&gt;0,#REF!,"  ")</f>
        <v>#REF!</v>
      </c>
      <c r="C37" s="38"/>
      <c r="D37" s="52" t="e">
        <f>IF(#REF!&gt;0,#REF!,"  ")</f>
        <v>#REF!</v>
      </c>
      <c r="E37" s="38"/>
      <c r="F37" s="52" t="e">
        <f>IF(#REF!&gt;0,#REF!,"  ")</f>
        <v>#REF!</v>
      </c>
      <c r="G37" s="38"/>
      <c r="H37" s="38"/>
    </row>
    <row r="38" spans="1:13" x14ac:dyDescent="0.2">
      <c r="A38" s="52" t="str">
        <f>IF(inputPrYr!$B45&gt;"  ",(inputPrYr!$B45),"  ")</f>
        <v xml:space="preserve">  </v>
      </c>
      <c r="B38" s="52" t="e">
        <f>IF(#REF!&gt;0,#REF!,"  ")</f>
        <v>#REF!</v>
      </c>
      <c r="C38" s="38"/>
      <c r="D38" s="52" t="e">
        <f>IF(#REF!&gt;0,#REF!,"  ")</f>
        <v>#REF!</v>
      </c>
      <c r="E38" s="38"/>
      <c r="F38" s="52" t="e">
        <f>IF(#REF!&gt;0,#REF!,"  ")</f>
        <v>#REF!</v>
      </c>
      <c r="G38" s="38"/>
      <c r="H38" s="38"/>
    </row>
    <row r="39" spans="1:13" x14ac:dyDescent="0.2">
      <c r="A39" s="52" t="str">
        <f>IF(inputPrYr!$B46&gt;"  ",(inputPrYr!$B46),"  ")</f>
        <v xml:space="preserve">  </v>
      </c>
      <c r="B39" s="52" t="e">
        <f>IF(#REF!&gt;0,#REF!,"  ")</f>
        <v>#REF!</v>
      </c>
      <c r="C39" s="38"/>
      <c r="D39" s="52" t="e">
        <f>IF(#REF!&gt;0,#REF!,"  ")</f>
        <v>#REF!</v>
      </c>
      <c r="E39" s="38"/>
      <c r="F39" s="52" t="e">
        <f>IF(#REF!&gt;0,#REF!,"  ")</f>
        <v>#REF!</v>
      </c>
      <c r="G39" s="38"/>
      <c r="H39" s="38"/>
    </row>
    <row r="40" spans="1:13" x14ac:dyDescent="0.2">
      <c r="A40" s="52" t="str">
        <f>IF(inputPrYr!$B47&gt;"  ",(inputPrYr!$B47),"  ")</f>
        <v xml:space="preserve">  </v>
      </c>
      <c r="B40" s="52" t="e">
        <f>IF(#REF!&gt;0,#REF!,"  ")</f>
        <v>#REF!</v>
      </c>
      <c r="C40" s="38"/>
      <c r="D40" s="52" t="e">
        <f>IF(#REF!&gt;0,#REF!,"  ")</f>
        <v>#REF!</v>
      </c>
      <c r="E40" s="38"/>
      <c r="F40" s="52" t="e">
        <f>IF(#REF!&gt;0,#REF!,"  ")</f>
        <v>#REF!</v>
      </c>
      <c r="G40" s="38"/>
      <c r="H40" s="38"/>
    </row>
    <row r="41" spans="1:13" x14ac:dyDescent="0.25">
      <c r="A41" s="52" t="str">
        <f>IF(inputPrYr!$B48&gt;"  ",(inputPrYr!$B48),"  ")</f>
        <v xml:space="preserve">  </v>
      </c>
      <c r="B41" s="52" t="e">
        <f>IF(#REF!&gt;0,#REF!,"  ")</f>
        <v>#REF!</v>
      </c>
      <c r="C41" s="38"/>
      <c r="D41" s="52" t="e">
        <f>IF(#REF!&gt;0,#REF!,"  ")</f>
        <v>#REF!</v>
      </c>
      <c r="E41" s="38"/>
      <c r="F41" s="52" t="e">
        <f>IF(#REF!&gt;0,#REF!,"  ")</f>
        <v>#REF!</v>
      </c>
      <c r="G41" s="38"/>
      <c r="H41" s="38"/>
      <c r="J41" s="742" t="str">
        <f>CONCATENATE("Estimated Value Of One Mill For ",H2,"")</f>
        <v>Estimated Value Of One Mill For 2024</v>
      </c>
      <c r="K41" s="743"/>
      <c r="L41" s="743"/>
      <c r="M41" s="744"/>
    </row>
    <row r="42" spans="1:13" x14ac:dyDescent="0.25">
      <c r="A42" s="52" t="str">
        <f>IF(inputPrYr!$B49&gt;"  ",(inputPrYr!$B49),"  ")</f>
        <v xml:space="preserve">  </v>
      </c>
      <c r="B42" s="52" t="e">
        <f>IF(#REF!&gt;0,#REF!,"  ")</f>
        <v>#REF!</v>
      </c>
      <c r="C42" s="38"/>
      <c r="D42" s="52" t="e">
        <f>IF(#REF!&gt;0,#REF!,"  ")</f>
        <v>#REF!</v>
      </c>
      <c r="E42" s="38"/>
      <c r="F42" s="52" t="e">
        <f>IF(#REF!&gt;0,#REF!,"  ")</f>
        <v>#REF!</v>
      </c>
      <c r="G42" s="38"/>
      <c r="H42" s="38"/>
      <c r="J42" s="312"/>
      <c r="K42" s="313"/>
      <c r="L42" s="313"/>
      <c r="M42" s="314"/>
    </row>
    <row r="43" spans="1:13" x14ac:dyDescent="0.25">
      <c r="A43" s="52" t="str">
        <f>IF(inputPrYr!$B50&gt;"  ",(inputPrYr!$B50),"  ")</f>
        <v xml:space="preserve">  </v>
      </c>
      <c r="B43" s="52" t="e">
        <f>IF(#REF!&gt;0,#REF!,"  ")</f>
        <v>#REF!</v>
      </c>
      <c r="C43" s="38"/>
      <c r="D43" s="52" t="e">
        <f>IF(#REF!&gt;0,#REF!,"  ")</f>
        <v>#REF!</v>
      </c>
      <c r="E43" s="38"/>
      <c r="F43" s="52" t="e">
        <f>IF(#REF!&gt;0,#REF!,"  ")</f>
        <v>#REF!</v>
      </c>
      <c r="G43" s="38"/>
      <c r="H43" s="38"/>
      <c r="J43" s="315" t="s">
        <v>341</v>
      </c>
      <c r="K43" s="316"/>
      <c r="L43" s="316"/>
      <c r="M43" s="499">
        <f>ROUND(F58/1000,0)</f>
        <v>20856</v>
      </c>
    </row>
    <row r="44" spans="1:13" x14ac:dyDescent="0.2">
      <c r="A44" s="52" t="str">
        <f>IF(inputPrYr!$B52&gt;"  ",(inputPrYr!$B52),"  ")</f>
        <v>Combined Sales Tax Improv</v>
      </c>
      <c r="B44" s="52" t="str">
        <f>IF('Combined sales tax'!$C$44&gt;0,'Combined sales tax'!$C$44,"  ")</f>
        <v xml:space="preserve">  </v>
      </c>
      <c r="C44" s="38"/>
      <c r="D44" s="52" t="str">
        <f>IF('Combined sales tax'!$D$44&gt;0,'Combined sales tax'!$D$44,"  ")</f>
        <v xml:space="preserve">  </v>
      </c>
      <c r="E44" s="38"/>
      <c r="F44" s="52" t="str">
        <f>IF('Combined sales tax'!$E$44&gt;0,'Combined sales tax'!$E$44,"  ")</f>
        <v xml:space="preserve">  </v>
      </c>
      <c r="G44" s="38"/>
      <c r="H44" s="38"/>
    </row>
    <row r="45" spans="1:13" x14ac:dyDescent="0.25">
      <c r="A45" s="52" t="str">
        <f>IF(inputPrYr!$B53&gt;"  ",(inputPrYr!$B53),"  ")</f>
        <v>Community Enhanc Sales Tax</v>
      </c>
      <c r="B45" s="52" t="str">
        <f>IF('Community sales tax'!$C$44&gt;0,'Community sales tax'!$C$44,"  ")</f>
        <v xml:space="preserve">  </v>
      </c>
      <c r="C45" s="38"/>
      <c r="D45" s="52" t="str">
        <f>IF('Community sales tax'!$D$44&gt;0,'Community sales tax'!$D$44,"  ")</f>
        <v xml:space="preserve">  </v>
      </c>
      <c r="E45" s="38"/>
      <c r="F45" s="52" t="str">
        <f>IF('Community sales tax'!$E$44&gt;0,'Community sales tax'!$E$44,"  ")</f>
        <v xml:space="preserve">  </v>
      </c>
      <c r="G45" s="38"/>
      <c r="H45" s="38"/>
      <c r="J45" s="742" t="str">
        <f>CONCATENATE("Want The Mill Rate The Same As For ",H2-1,"?")</f>
        <v>Want The Mill Rate The Same As For 2023?</v>
      </c>
      <c r="K45" s="743"/>
      <c r="L45" s="743"/>
      <c r="M45" s="744"/>
    </row>
    <row r="46" spans="1:13" x14ac:dyDescent="0.25">
      <c r="A46" s="52" t="str">
        <f>IF(inputPrYr!$B54&gt;"  ",(inputPrYr!$B54),"  ")</f>
        <v>Water/Sewer/Refuse Utitly</v>
      </c>
      <c r="B46" s="52" t="str">
        <f>IF('WaterSewer Utility'!$C$44&gt;0,'WaterSewer Utility'!$C$44,"  ")</f>
        <v xml:space="preserve">  </v>
      </c>
      <c r="C46" s="38"/>
      <c r="D46" s="52" t="str">
        <f>IF('WaterSewer Utility'!$D$44&gt;0,'WaterSewer Utility'!$D$44,"  ")</f>
        <v xml:space="preserve">  </v>
      </c>
      <c r="E46" s="38"/>
      <c r="F46" s="52" t="str">
        <f>IF('WaterSewer Utility'!$E$44&gt;0,'WaterSewer Utility'!$E$44,"  ")</f>
        <v xml:space="preserve">  </v>
      </c>
      <c r="G46" s="38"/>
      <c r="H46" s="38"/>
      <c r="J46" s="319"/>
      <c r="K46" s="313"/>
      <c r="L46" s="313"/>
      <c r="M46" s="320"/>
    </row>
    <row r="47" spans="1:13" x14ac:dyDescent="0.25">
      <c r="A47" s="52" t="str">
        <f>IF(inputPrYr!$B55&gt;"  ",(inputPrYr!$B55),"  ")</f>
        <v xml:space="preserve">  </v>
      </c>
      <c r="B47" s="52" t="e">
        <f>IF(#REF!&gt;0,#REF!,"  ")</f>
        <v>#REF!</v>
      </c>
      <c r="C47" s="38"/>
      <c r="D47" s="52" t="e">
        <f>IF(#REF!&gt;0,#REF!,"  ")</f>
        <v>#REF!</v>
      </c>
      <c r="E47" s="38"/>
      <c r="F47" s="52" t="e">
        <f>IF(#REF!&gt;0,#REF!,"  ")</f>
        <v>#REF!</v>
      </c>
      <c r="G47" s="38"/>
      <c r="H47" s="38"/>
      <c r="J47" s="319" t="str">
        <f>CONCATENATE("",H2-1," Mill Rate Was:")</f>
        <v>2023 Mill Rate Was:</v>
      </c>
      <c r="K47" s="313"/>
      <c r="L47" s="313"/>
      <c r="M47" s="321">
        <f>E52</f>
        <v>54.954999999999991</v>
      </c>
    </row>
    <row r="48" spans="1:13" x14ac:dyDescent="0.25">
      <c r="A48" s="52" t="str">
        <f>IF(inputPrYr!$B58&gt;"  ",('Reserve Funds A'!$A3),"  ")</f>
        <v>Non-Budgeted Funds-A</v>
      </c>
      <c r="B48" s="52" t="str">
        <f>IF('Reserve Funds A'!$K$28&gt;0,'Reserve Funds A'!$K$28,"  ")</f>
        <v xml:space="preserve">  </v>
      </c>
      <c r="C48" s="38"/>
      <c r="D48" s="52"/>
      <c r="E48" s="38"/>
      <c r="F48" s="52"/>
      <c r="G48" s="38"/>
      <c r="H48" s="38"/>
      <c r="J48" s="322" t="str">
        <f>CONCATENATE("",H2," Tax Levy Fund Expenditures Must Be")</f>
        <v>2024 Tax Levy Fund Expenditures Must Be</v>
      </c>
      <c r="K48" s="323"/>
      <c r="L48" s="323"/>
      <c r="M48" s="320"/>
    </row>
    <row r="49" spans="1:13" x14ac:dyDescent="0.25">
      <c r="A49" s="52" t="str">
        <f>IF(inputPrYr!$B64&gt;"  ",('Reserve Funds B'!$A3),"  ")</f>
        <v>Non-Budgeted Funds-B</v>
      </c>
      <c r="B49" s="52" t="str">
        <f>IF('Reserve Funds B'!$K$28&gt;0,'Reserve Funds B'!$K$28,"  ")</f>
        <v xml:space="preserve">  </v>
      </c>
      <c r="C49" s="38"/>
      <c r="D49" s="52"/>
      <c r="E49" s="38"/>
      <c r="F49" s="52"/>
      <c r="G49" s="38"/>
      <c r="H49" s="38"/>
      <c r="J49" s="322" t="e">
        <f>IF(M49&gt;0,"Increased By:","")</f>
        <v>#REF!</v>
      </c>
      <c r="K49" s="323"/>
      <c r="L49" s="323"/>
      <c r="M49" s="361" t="e">
        <f>IF(M56&lt;0,M56*-1,0)</f>
        <v>#REF!</v>
      </c>
    </row>
    <row r="50" spans="1:13" x14ac:dyDescent="0.2">
      <c r="A50" s="52" t="str">
        <f>IF(inputPrYr!$B70&gt;"  ",(#REF!),"  ")</f>
        <v xml:space="preserve">  </v>
      </c>
      <c r="B50" s="52" t="e">
        <f>IF(#REF!&gt;0,#REF!,"  ")</f>
        <v>#REF!</v>
      </c>
      <c r="C50" s="38"/>
      <c r="D50" s="52"/>
      <c r="E50" s="38"/>
      <c r="F50" s="52"/>
      <c r="G50" s="38"/>
      <c r="H50" s="38"/>
      <c r="J50" s="362" t="e">
        <f>IF(M50&lt;0,"Reduced By:","")</f>
        <v>#REF!</v>
      </c>
      <c r="K50" s="363"/>
      <c r="L50" s="363"/>
      <c r="M50" s="364" t="e">
        <f>IF(M56&gt;0,M56*-1,0)</f>
        <v>#REF!</v>
      </c>
    </row>
    <row r="51" spans="1:13" ht="16.5" thickBot="1" x14ac:dyDescent="0.3">
      <c r="A51" s="52" t="str">
        <f>IF(inputPrYr!$B76&gt;"  ",(#REF!),"  ")</f>
        <v xml:space="preserve">  </v>
      </c>
      <c r="B51" s="330" t="e">
        <f>IF(#REF!&gt;0,#REF!,"  ")</f>
        <v>#REF!</v>
      </c>
      <c r="C51" s="331"/>
      <c r="D51" s="330"/>
      <c r="E51" s="331"/>
      <c r="F51" s="330"/>
      <c r="G51" s="331"/>
      <c r="H51" s="331"/>
      <c r="J51" s="318"/>
      <c r="K51" s="318"/>
      <c r="L51" s="318"/>
      <c r="M51" s="318"/>
    </row>
    <row r="52" spans="1:13" ht="16.5" thickBot="1" x14ac:dyDescent="0.3">
      <c r="A52" s="574" t="s">
        <v>351</v>
      </c>
      <c r="B52" s="575" t="e">
        <f>SUM(B15:B51)</f>
        <v>#REF!</v>
      </c>
      <c r="C52" s="576">
        <f>SUM(C15:C27)</f>
        <v>51.578000000000003</v>
      </c>
      <c r="D52" s="575" t="e">
        <f>SUM(D15:D51)</f>
        <v>#REF!</v>
      </c>
      <c r="E52" s="576">
        <f>SUM(E15:E27)</f>
        <v>54.954999999999991</v>
      </c>
      <c r="F52" s="575" t="e">
        <f>SUM(F15:F51)</f>
        <v>#REF!</v>
      </c>
      <c r="G52" s="575" t="e">
        <f>SUM(G15:G51)</f>
        <v>#REF!</v>
      </c>
      <c r="H52" s="576" t="e">
        <f>SUM(H15:H27)</f>
        <v>#REF!</v>
      </c>
      <c r="J52" s="742" t="str">
        <f>CONCATENATE("Impact On Keeping The Same Mill Rate As For ",H2-1,"")</f>
        <v>Impact On Keeping The Same Mill Rate As For 2023</v>
      </c>
      <c r="K52" s="749"/>
      <c r="L52" s="749"/>
      <c r="M52" s="750"/>
    </row>
    <row r="53" spans="1:13" ht="16.5" thickTop="1" x14ac:dyDescent="0.25">
      <c r="A53" s="733" t="s">
        <v>565</v>
      </c>
      <c r="B53" s="734"/>
      <c r="C53" s="734"/>
      <c r="D53" s="734"/>
      <c r="E53" s="734"/>
      <c r="F53" s="734"/>
      <c r="G53" s="735"/>
      <c r="H53" s="573">
        <f>inputOth!D20</f>
        <v>50.973999999999997</v>
      </c>
      <c r="I53" s="327"/>
      <c r="J53" s="319"/>
      <c r="K53" s="313"/>
      <c r="L53" s="313"/>
      <c r="M53" s="320"/>
    </row>
    <row r="54" spans="1:13" x14ac:dyDescent="0.25">
      <c r="A54" s="29" t="s">
        <v>84</v>
      </c>
      <c r="B54" s="295">
        <f>Transfers!D26</f>
        <v>0</v>
      </c>
      <c r="C54" s="356"/>
      <c r="D54" s="295">
        <f>Transfers!E26</f>
        <v>0</v>
      </c>
      <c r="E54" s="240"/>
      <c r="F54" s="295">
        <f>Transfers!F26</f>
        <v>0</v>
      </c>
      <c r="G54" s="354"/>
      <c r="H54" s="240"/>
      <c r="J54" s="319" t="str">
        <f>CONCATENATE("",H2," Ad Valorem Tax Revenue:")</f>
        <v>2024 Ad Valorem Tax Revenue:</v>
      </c>
      <c r="K54" s="313"/>
      <c r="L54" s="313"/>
      <c r="M54" s="314" t="e">
        <f>G52</f>
        <v>#REF!</v>
      </c>
    </row>
    <row r="55" spans="1:13" ht="16.5" thickBot="1" x14ac:dyDescent="0.3">
      <c r="A55" s="29" t="s">
        <v>85</v>
      </c>
      <c r="B55" s="237" t="e">
        <f>B52-B54</f>
        <v>#REF!</v>
      </c>
      <c r="C55" s="28"/>
      <c r="D55" s="237" t="e">
        <f>D52-D54</f>
        <v>#REF!</v>
      </c>
      <c r="E55" s="28"/>
      <c r="F55" s="237" t="e">
        <f>F52-F54</f>
        <v>#REF!</v>
      </c>
      <c r="G55" s="28"/>
      <c r="H55" s="28"/>
      <c r="J55" s="319" t="str">
        <f>CONCATENATE("",H2-1," Ad Valorem Tax Revenue:")</f>
        <v>2023 Ad Valorem Tax Revenue:</v>
      </c>
      <c r="K55" s="313"/>
      <c r="L55" s="313"/>
      <c r="M55" s="326">
        <f>ROUND(F58*M47/1000,0)</f>
        <v>1146142</v>
      </c>
    </row>
    <row r="56" spans="1:13" ht="16.5" thickTop="1" x14ac:dyDescent="0.25">
      <c r="A56" s="29" t="s">
        <v>86</v>
      </c>
      <c r="B56" s="295">
        <f>inputPrYr!$E$100</f>
        <v>898288</v>
      </c>
      <c r="C56" s="47"/>
      <c r="D56" s="295">
        <f>inputPrYr!$E$32</f>
        <v>1063125</v>
      </c>
      <c r="E56" s="47"/>
      <c r="F56" s="228" t="s">
        <v>49</v>
      </c>
      <c r="G56" s="28"/>
      <c r="H56" s="28"/>
      <c r="J56" s="324" t="s">
        <v>342</v>
      </c>
      <c r="K56" s="325"/>
      <c r="L56" s="325"/>
      <c r="M56" s="317" t="e">
        <f>SUM(M54-M55)</f>
        <v>#REF!</v>
      </c>
    </row>
    <row r="57" spans="1:13" x14ac:dyDescent="0.25">
      <c r="A57" s="29" t="s">
        <v>87</v>
      </c>
      <c r="B57" s="114"/>
      <c r="C57" s="28"/>
      <c r="D57" s="296"/>
      <c r="E57" s="115"/>
      <c r="F57" s="95"/>
      <c r="G57" s="28"/>
      <c r="H57" s="28"/>
      <c r="J57" s="318"/>
      <c r="K57" s="318"/>
      <c r="L57" s="318"/>
      <c r="M57" s="318"/>
    </row>
    <row r="58" spans="1:13" x14ac:dyDescent="0.25">
      <c r="A58" s="29" t="s">
        <v>88</v>
      </c>
      <c r="B58" s="295">
        <f>inputPrYr!$E$101</f>
        <v>17416209</v>
      </c>
      <c r="C58" s="28"/>
      <c r="D58" s="295">
        <f>inputOth!$E$39</f>
        <v>19345400</v>
      </c>
      <c r="E58" s="28"/>
      <c r="F58" s="295">
        <f>inputOth!$E$7</f>
        <v>20856018</v>
      </c>
      <c r="G58" s="28"/>
      <c r="H58" s="28"/>
      <c r="J58" s="742" t="s">
        <v>343</v>
      </c>
      <c r="K58" s="747"/>
      <c r="L58" s="747"/>
      <c r="M58" s="748"/>
    </row>
    <row r="59" spans="1:13" x14ac:dyDescent="0.25">
      <c r="A59" s="29" t="s">
        <v>89</v>
      </c>
      <c r="B59" s="28"/>
      <c r="C59" s="28"/>
      <c r="D59" s="28"/>
      <c r="E59" s="28"/>
      <c r="F59" s="28"/>
      <c r="G59" s="28"/>
      <c r="H59" s="28"/>
      <c r="J59" s="319"/>
      <c r="K59" s="313"/>
      <c r="L59" s="313"/>
      <c r="M59" s="320"/>
    </row>
    <row r="60" spans="1:13" ht="13.5" customHeight="1" x14ac:dyDescent="0.25">
      <c r="A60" s="29" t="s">
        <v>90</v>
      </c>
      <c r="B60" s="229">
        <f>$H$2-3</f>
        <v>2021</v>
      </c>
      <c r="C60" s="28"/>
      <c r="D60" s="229">
        <f>$H$2-2</f>
        <v>2022</v>
      </c>
      <c r="E60" s="28"/>
      <c r="F60" s="229">
        <f>$H$2-1</f>
        <v>2023</v>
      </c>
      <c r="G60" s="28"/>
      <c r="H60" s="28"/>
      <c r="J60" s="319" t="str">
        <f>CONCATENATE("Current ",H2," Estimated Mill Rate:")</f>
        <v>Current 2024 Estimated Mill Rate:</v>
      </c>
      <c r="K60" s="313"/>
      <c r="L60" s="313"/>
      <c r="M60" s="321" t="e">
        <f>H52</f>
        <v>#REF!</v>
      </c>
    </row>
    <row r="61" spans="1:13" x14ac:dyDescent="0.25">
      <c r="A61" s="29" t="s">
        <v>91</v>
      </c>
      <c r="B61" s="154">
        <f>inputPrYr!$D$105</f>
        <v>1835000</v>
      </c>
      <c r="C61" s="109"/>
      <c r="D61" s="154">
        <f>inputPrYr!$E$105</f>
        <v>1725000</v>
      </c>
      <c r="E61" s="109"/>
      <c r="F61" s="154">
        <f>Debt!$G$20</f>
        <v>1725000</v>
      </c>
      <c r="G61" s="28"/>
      <c r="H61" s="28"/>
      <c r="J61" s="319" t="str">
        <f>CONCATENATE("Desired ",H2," Mill Rate:")</f>
        <v>Desired 2024 Mill Rate:</v>
      </c>
      <c r="K61" s="313"/>
      <c r="L61" s="313"/>
      <c r="M61" s="311">
        <v>54.954999999999998</v>
      </c>
    </row>
    <row r="62" spans="1:13" ht="18.75" customHeight="1" x14ac:dyDescent="0.25">
      <c r="A62" s="29" t="s">
        <v>92</v>
      </c>
      <c r="B62" s="295">
        <f>inputPrYr!$D$106</f>
        <v>0</v>
      </c>
      <c r="C62" s="109"/>
      <c r="D62" s="295">
        <f>inputPrYr!$E$106</f>
        <v>0</v>
      </c>
      <c r="E62" s="109"/>
      <c r="F62" s="154">
        <f>Debt!$G$32</f>
        <v>0</v>
      </c>
      <c r="G62" s="28"/>
      <c r="H62" s="28"/>
      <c r="J62" s="319" t="str">
        <f>CONCATENATE("",H2," Ad Valorem Tax:")</f>
        <v>2024 Ad Valorem Tax:</v>
      </c>
      <c r="K62" s="313"/>
      <c r="L62" s="313"/>
      <c r="M62" s="326">
        <f>ROUND(F58*M61/1000,0)</f>
        <v>1146142</v>
      </c>
    </row>
    <row r="63" spans="1:13" ht="18.75" customHeight="1" x14ac:dyDescent="0.25">
      <c r="A63" s="28" t="s">
        <v>110</v>
      </c>
      <c r="B63" s="295">
        <f>inputPrYr!$D$107</f>
        <v>543111</v>
      </c>
      <c r="C63" s="109"/>
      <c r="D63" s="295">
        <f>inputPrYr!$E$107</f>
        <v>367631</v>
      </c>
      <c r="E63" s="109"/>
      <c r="F63" s="154">
        <f>Debt!$G$42</f>
        <v>0</v>
      </c>
      <c r="G63" s="28"/>
      <c r="H63" s="28"/>
      <c r="J63" s="324" t="str">
        <f>CONCATENATE("",H2," Tax Levy Fund Exp. Changed By:")</f>
        <v>2024 Tax Levy Fund Exp. Changed By:</v>
      </c>
      <c r="K63" s="325"/>
      <c r="L63" s="325"/>
      <c r="M63" s="317" t="e">
        <f>IF(M61=0,0,(M62-G52))</f>
        <v>#REF!</v>
      </c>
    </row>
    <row r="64" spans="1:13" ht="18.75" customHeight="1" x14ac:dyDescent="0.2">
      <c r="A64" s="29" t="s">
        <v>144</v>
      </c>
      <c r="B64" s="295">
        <f>inputPrYr!$D$108</f>
        <v>126983</v>
      </c>
      <c r="C64" s="109"/>
      <c r="D64" s="295">
        <f>inputPrYr!$E$108</f>
        <v>53957</v>
      </c>
      <c r="E64" s="109"/>
      <c r="F64" s="154">
        <f>'LP Form'!$G$28</f>
        <v>553957</v>
      </c>
      <c r="G64" s="28"/>
      <c r="H64" s="28"/>
    </row>
    <row r="65" spans="1:13" ht="18.75" customHeight="1" thickBot="1" x14ac:dyDescent="0.25">
      <c r="A65" s="29" t="s">
        <v>93</v>
      </c>
      <c r="B65" s="357">
        <f>SUM(B61:B64)</f>
        <v>2505094</v>
      </c>
      <c r="C65" s="109"/>
      <c r="D65" s="357">
        <f>SUM(D61:D64)</f>
        <v>2146588</v>
      </c>
      <c r="E65" s="109"/>
      <c r="F65" s="357">
        <f>SUM(F61:F64)</f>
        <v>2278957</v>
      </c>
      <c r="G65" s="28"/>
      <c r="H65" s="28"/>
      <c r="J65" s="736" t="s">
        <v>726</v>
      </c>
      <c r="K65" s="737"/>
      <c r="L65" s="737"/>
      <c r="M65" s="727" t="e">
        <f>IF(H52&gt;H53, "Yes", "No")</f>
        <v>#REF!</v>
      </c>
    </row>
    <row r="66" spans="1:13" ht="16.5" thickTop="1" x14ac:dyDescent="0.2">
      <c r="A66" s="29" t="s">
        <v>94</v>
      </c>
      <c r="B66" s="28"/>
      <c r="C66" s="28"/>
      <c r="D66" s="28"/>
      <c r="E66" s="28"/>
      <c r="F66" s="28"/>
      <c r="G66" s="28"/>
      <c r="H66" s="28"/>
      <c r="J66" s="738"/>
      <c r="K66" s="739"/>
      <c r="L66" s="739"/>
      <c r="M66" s="728"/>
    </row>
    <row r="67" spans="1:13" x14ac:dyDescent="0.2">
      <c r="A67" s="544" t="s">
        <v>718</v>
      </c>
      <c r="B67" s="28"/>
      <c r="C67" s="28"/>
      <c r="D67" s="28"/>
      <c r="E67" s="28"/>
      <c r="F67" s="28"/>
      <c r="G67" s="28"/>
      <c r="H67" s="28"/>
      <c r="J67" s="714" t="e">
        <f>IF(M65="Yes", "Follow procedure prescirbed by KSA 79-2988 to exceed the Revenue Neutral Rate.", " ")</f>
        <v>#REF!</v>
      </c>
      <c r="K67" s="714"/>
      <c r="L67" s="714"/>
      <c r="M67" s="714"/>
    </row>
    <row r="68" spans="1:13" x14ac:dyDescent="0.2">
      <c r="A68" s="28"/>
      <c r="B68" s="28"/>
      <c r="C68" s="28"/>
      <c r="D68" s="28"/>
      <c r="E68" s="28"/>
      <c r="F68" s="28"/>
      <c r="G68" s="28"/>
      <c r="H68" s="28"/>
      <c r="J68" s="715"/>
      <c r="K68" s="715"/>
      <c r="L68" s="715"/>
      <c r="M68" s="715"/>
    </row>
    <row r="69" spans="1:13" x14ac:dyDescent="0.2">
      <c r="A69" s="746">
        <f>inputHearing!B14</f>
        <v>0</v>
      </c>
      <c r="B69" s="746"/>
      <c r="C69" s="28"/>
      <c r="D69" s="28"/>
      <c r="E69" s="28"/>
      <c r="F69" s="28"/>
      <c r="G69" s="28"/>
      <c r="H69" s="28"/>
      <c r="J69" s="715"/>
      <c r="K69" s="715"/>
      <c r="L69" s="715"/>
      <c r="M69" s="715"/>
    </row>
    <row r="70" spans="1:13" x14ac:dyDescent="0.2">
      <c r="A70" s="107" t="s">
        <v>170</v>
      </c>
      <c r="B70" s="369">
        <f>inputHearing!B16</f>
        <v>0</v>
      </c>
      <c r="C70" s="28"/>
      <c r="D70" s="28"/>
      <c r="E70" s="28"/>
      <c r="F70" s="28"/>
      <c r="G70" s="28"/>
      <c r="H70" s="28"/>
    </row>
    <row r="71" spans="1:13" x14ac:dyDescent="0.2">
      <c r="A71" s="28"/>
      <c r="B71" s="28"/>
      <c r="C71" s="28"/>
      <c r="D71" s="28"/>
      <c r="E71" s="28"/>
      <c r="F71" s="28"/>
      <c r="G71" s="28"/>
      <c r="H71" s="28"/>
    </row>
    <row r="72" spans="1:13" x14ac:dyDescent="0.2">
      <c r="A72" s="28"/>
      <c r="B72" s="28"/>
      <c r="C72" s="80" t="s">
        <v>70</v>
      </c>
      <c r="D72" s="464"/>
      <c r="E72" s="28"/>
      <c r="F72" s="28"/>
      <c r="G72" s="28"/>
      <c r="H72" s="28"/>
    </row>
  </sheetData>
  <sheetProtection sheet="1" objects="1" scenarios="1"/>
  <mergeCells count="22">
    <mergeCell ref="J67:M69"/>
    <mergeCell ref="A1:H1"/>
    <mergeCell ref="A4:H4"/>
    <mergeCell ref="A6:H6"/>
    <mergeCell ref="A7:H7"/>
    <mergeCell ref="A3:H3"/>
    <mergeCell ref="J41:M41"/>
    <mergeCell ref="A5:H5"/>
    <mergeCell ref="A69:B69"/>
    <mergeCell ref="J58:M58"/>
    <mergeCell ref="J52:M52"/>
    <mergeCell ref="J45:M45"/>
    <mergeCell ref="B13:B14"/>
    <mergeCell ref="C13:C14"/>
    <mergeCell ref="D13:D14"/>
    <mergeCell ref="E13:E14"/>
    <mergeCell ref="M65:M66"/>
    <mergeCell ref="F13:F14"/>
    <mergeCell ref="G13:G14"/>
    <mergeCell ref="H13:H14"/>
    <mergeCell ref="A53:G53"/>
    <mergeCell ref="J65:L66"/>
  </mergeCells>
  <phoneticPr fontId="0" type="noConversion"/>
  <conditionalFormatting sqref="M65:M66">
    <cfRule type="containsText" dxfId="1" priority="1" operator="containsText" text="Yes">
      <formula>NOT(ISERROR(SEARCH("Yes",M65)))</formula>
    </cfRule>
  </conditionalFormatting>
  <pageMargins left="1" right="0.5" top="1" bottom="0.5" header="0.5" footer="0.5"/>
  <pageSetup scale="59"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72"/>
  <sheetViews>
    <sheetView topLeftCell="A17" zoomScale="90" zoomScaleNormal="90" workbookViewId="0">
      <selection activeCell="I1" sqref="I1"/>
    </sheetView>
  </sheetViews>
  <sheetFormatPr defaultColWidth="8.88671875" defaultRowHeight="15.75" x14ac:dyDescent="0.2"/>
  <cols>
    <col min="1" max="1" width="20.77734375" style="24" customWidth="1"/>
    <col min="2" max="2" width="15.77734375" style="24" customWidth="1"/>
    <col min="3" max="3" width="8.77734375" style="24" customWidth="1"/>
    <col min="4" max="4" width="15.77734375" style="24" customWidth="1"/>
    <col min="5" max="5" width="9.109375" style="24" customWidth="1"/>
    <col min="6" max="6" width="14.6640625" style="24" customWidth="1"/>
    <col min="7" max="7" width="12.77734375" style="24" customWidth="1"/>
    <col min="8" max="8" width="10.109375" style="24" customWidth="1"/>
    <col min="9" max="9" width="8.88671875" style="24"/>
    <col min="10" max="10" width="12.44140625" style="24" customWidth="1"/>
    <col min="11" max="11" width="12.33203125" style="24" customWidth="1"/>
    <col min="12" max="12" width="10.5546875" style="24" customWidth="1"/>
    <col min="13" max="13" width="12.109375" style="24" customWidth="1"/>
    <col min="14" max="16384" width="8.88671875" style="24"/>
  </cols>
  <sheetData>
    <row r="1" spans="1:9" x14ac:dyDescent="0.2">
      <c r="A1" s="740" t="s">
        <v>734</v>
      </c>
      <c r="B1" s="740"/>
      <c r="C1" s="740"/>
      <c r="D1" s="740"/>
      <c r="E1" s="740"/>
      <c r="F1" s="740"/>
      <c r="G1" s="740"/>
      <c r="H1" s="740"/>
      <c r="I1" s="225"/>
    </row>
    <row r="2" spans="1:9" ht="18" customHeight="1" x14ac:dyDescent="0.2">
      <c r="A2" s="28"/>
      <c r="B2" s="28"/>
      <c r="C2" s="28"/>
      <c r="D2" s="28"/>
      <c r="E2" s="28"/>
      <c r="F2" s="28"/>
      <c r="G2" s="28"/>
      <c r="H2" s="28">
        <f>inputPrYr!$C$6</f>
        <v>2024</v>
      </c>
    </row>
    <row r="3" spans="1:9" ht="18" customHeight="1" x14ac:dyDescent="0.2">
      <c r="A3" s="664" t="s">
        <v>80</v>
      </c>
      <c r="B3" s="664"/>
      <c r="C3" s="664"/>
      <c r="D3" s="664"/>
      <c r="E3" s="664"/>
      <c r="F3" s="664"/>
      <c r="G3" s="664"/>
      <c r="H3" s="664"/>
    </row>
    <row r="4" spans="1:9" x14ac:dyDescent="0.2">
      <c r="A4" s="635" t="str">
        <f>inputPrYr!D3</f>
        <v>Wellsville</v>
      </c>
      <c r="B4" s="635"/>
      <c r="C4" s="635"/>
      <c r="D4" s="635"/>
      <c r="E4" s="635"/>
      <c r="F4" s="635"/>
      <c r="G4" s="635"/>
      <c r="H4" s="635"/>
    </row>
    <row r="5" spans="1:9" ht="18" customHeight="1" x14ac:dyDescent="0.25">
      <c r="A5" s="745" t="str">
        <f>CONCATENATE("will meet on ",inputHearing!B32," at ",inputHearing!B34," at ",inputHearing!B36," for the purpose of hearing and")</f>
        <v>will meet on August 30, 2023 at 6.pm at City Hall for the purpose of hearing and</v>
      </c>
      <c r="B5" s="745"/>
      <c r="C5" s="745"/>
      <c r="D5" s="745"/>
      <c r="E5" s="745"/>
      <c r="F5" s="745"/>
      <c r="G5" s="745"/>
      <c r="H5" s="745"/>
    </row>
    <row r="6" spans="1:9" ht="16.5" customHeight="1" x14ac:dyDescent="0.2">
      <c r="A6" s="664" t="s">
        <v>307</v>
      </c>
      <c r="B6" s="664"/>
      <c r="C6" s="664"/>
      <c r="D6" s="664"/>
      <c r="E6" s="664"/>
      <c r="F6" s="664"/>
      <c r="G6" s="664"/>
      <c r="H6" s="664"/>
    </row>
    <row r="7" spans="1:9" ht="16.5" customHeight="1" x14ac:dyDescent="0.2">
      <c r="A7" s="741" t="str">
        <f>CONCATENATE("Detailed budget information is available at ",inputHearing!B38," and will be available at this hearing.")</f>
        <v>Detailed budget information is available at City Hall and will be available at this hearing.</v>
      </c>
      <c r="B7" s="741"/>
      <c r="C7" s="741"/>
      <c r="D7" s="741"/>
      <c r="E7" s="741"/>
      <c r="F7" s="741"/>
      <c r="G7" s="741"/>
      <c r="H7" s="741"/>
    </row>
    <row r="8" spans="1:9" x14ac:dyDescent="0.2">
      <c r="A8" s="32" t="s">
        <v>121</v>
      </c>
      <c r="B8" s="33"/>
      <c r="C8" s="33"/>
      <c r="D8" s="33"/>
      <c r="E8" s="33"/>
      <c r="F8" s="33"/>
      <c r="G8" s="33"/>
      <c r="H8" s="33"/>
    </row>
    <row r="9" spans="1:9" x14ac:dyDescent="0.2">
      <c r="A9" s="81" t="str">
        <f>CONCATENATE("Proposed Budget ",H2," Expenditures and Amount of ",H2-1," Ad Valorem Tax establish the maximum limits of the ",H2," budget.")</f>
        <v>Proposed Budget 2024 Expenditures and Amount of 2023 Ad Valorem Tax establish the maximum limits of the 2024 budget.</v>
      </c>
      <c r="B9" s="33"/>
      <c r="C9" s="33"/>
      <c r="D9" s="33"/>
      <c r="E9" s="33"/>
      <c r="F9" s="33"/>
      <c r="G9" s="33"/>
      <c r="H9" s="33"/>
    </row>
    <row r="10" spans="1:9" x14ac:dyDescent="0.2">
      <c r="A10" s="81" t="s">
        <v>143</v>
      </c>
      <c r="B10" s="33"/>
      <c r="C10" s="33"/>
      <c r="D10" s="33"/>
      <c r="E10" s="33"/>
      <c r="F10" s="33"/>
      <c r="G10" s="33"/>
      <c r="H10" s="33"/>
    </row>
    <row r="11" spans="1:9" x14ac:dyDescent="0.2">
      <c r="A11" s="28"/>
      <c r="B11" s="195"/>
      <c r="C11" s="195"/>
      <c r="D11" s="195"/>
      <c r="E11" s="195"/>
      <c r="F11" s="195"/>
      <c r="G11" s="195"/>
      <c r="H11" s="195"/>
    </row>
    <row r="12" spans="1:9" x14ac:dyDescent="0.2">
      <c r="A12" s="28"/>
      <c r="B12" s="226" t="str">
        <f>CONCATENATE("Prior Year Actual for ",H2-2,"")</f>
        <v>Prior Year Actual for 2022</v>
      </c>
      <c r="C12" s="84"/>
      <c r="D12" s="226" t="str">
        <f>CONCATENATE("Current Year Estimate for ",H2-1,"")</f>
        <v>Current Year Estimate for 2023</v>
      </c>
      <c r="E12" s="84"/>
      <c r="F12" s="82" t="str">
        <f>CONCATENATE("Proposed Budget Year for ",H2,"")</f>
        <v>Proposed Budget Year for 2024</v>
      </c>
      <c r="G12" s="83"/>
      <c r="H12" s="84"/>
    </row>
    <row r="13" spans="1:9" ht="29.25" customHeight="1" x14ac:dyDescent="0.2">
      <c r="A13" s="28"/>
      <c r="B13" s="751" t="s">
        <v>83</v>
      </c>
      <c r="C13" s="731" t="s">
        <v>720</v>
      </c>
      <c r="D13" s="751" t="s">
        <v>83</v>
      </c>
      <c r="E13" s="731" t="s">
        <v>720</v>
      </c>
      <c r="F13" s="729" t="s">
        <v>719</v>
      </c>
      <c r="G13" s="731" t="str">
        <f>CONCATENATE("Amount of ",H2-1," Ad Valorem Tax")</f>
        <v>Amount of 2023 Ad Valorem Tax</v>
      </c>
      <c r="H13" s="731" t="s">
        <v>721</v>
      </c>
    </row>
    <row r="14" spans="1:9" ht="16.5" customHeight="1" x14ac:dyDescent="0.2">
      <c r="A14" s="52" t="s">
        <v>82</v>
      </c>
      <c r="B14" s="752"/>
      <c r="C14" s="732"/>
      <c r="D14" s="752"/>
      <c r="E14" s="732"/>
      <c r="F14" s="730"/>
      <c r="G14" s="732"/>
      <c r="H14" s="732"/>
    </row>
    <row r="15" spans="1:9" x14ac:dyDescent="0.2">
      <c r="A15" s="52" t="str">
        <f>inputPrYr!B18</f>
        <v>General</v>
      </c>
      <c r="B15" s="52">
        <f>IF(General!$C$108&lt;&gt;0,General!$C$108,"  ")</f>
        <v>1209546</v>
      </c>
      <c r="C15" s="227">
        <f>IF(inputPrYr!D85&gt;0,inputPrYr!D85,"  ")</f>
        <v>38.634999999999998</v>
      </c>
      <c r="D15" s="52">
        <f>IF(General!$D$108&lt;&gt;0,General!$D$108,"  ")</f>
        <v>1366017</v>
      </c>
      <c r="E15" s="227">
        <f>IF(inputOth!D24&gt;0,inputOth!D24,"  ")</f>
        <v>39.895000000000003</v>
      </c>
      <c r="F15" s="52">
        <f>IF(General!$E$108&lt;&gt;0,General!$E$108,"  ")</f>
        <v>1537582</v>
      </c>
      <c r="G15" s="52">
        <f>IF(General!$E$115&lt;&gt;0,General!$E$115,"  ")</f>
        <v>936812</v>
      </c>
      <c r="H15" s="227">
        <f>IF(General!E115&gt;0,ROUND(G15/$F$58*1000,3),"")</f>
        <v>44.917999999999999</v>
      </c>
    </row>
    <row r="16" spans="1:9" x14ac:dyDescent="0.2">
      <c r="A16" s="52" t="str">
        <f>inputPrYr!B19</f>
        <v>Debt Service</v>
      </c>
      <c r="B16" s="52">
        <f>IF('DebtSvs-Library'!C33&lt;&gt;0,'DebtSvs-Library'!C33,"  ")</f>
        <v>42600</v>
      </c>
      <c r="C16" s="227">
        <f>IF(inputPrYr!D86&gt;0,inputPrYr!D86,"  ")</f>
        <v>0.26700000000000002</v>
      </c>
      <c r="D16" s="52">
        <f>IF('DebtSvs-Library'!D33&lt;&gt;0,'DebtSvs-Library'!D33,"  ")</f>
        <v>45000</v>
      </c>
      <c r="E16" s="227">
        <f>IF(inputOth!D25&gt;0,inputOth!D25,"  ")</f>
        <v>2.327</v>
      </c>
      <c r="F16" s="52">
        <f>IF('DebtSvs-Library'!E33&lt;&gt;0,'DebtSvs-Library'!E33,"  ")</f>
        <v>49000</v>
      </c>
      <c r="G16" s="52">
        <f>IF('DebtSvs-Library'!E40&lt;&gt;0,'DebtSvs-Library'!E40,"  ")</f>
        <v>45070</v>
      </c>
      <c r="H16" s="227">
        <f>IF('DebtSvs-Library'!E40&gt;0,ROUND(G16/$F$58*1000,3),"  ")</f>
        <v>2.161</v>
      </c>
    </row>
    <row r="17" spans="1:8" x14ac:dyDescent="0.2">
      <c r="A17" s="52" t="str">
        <f>IF(inputPrYr!$B20&gt;"  ",(inputPrYr!$B20),"  ")</f>
        <v>Library</v>
      </c>
      <c r="B17" s="52">
        <f>IF('DebtSvs-Library'!C73&lt;&gt;0,'DebtSvs-Library'!C73,"  ")</f>
        <v>91508</v>
      </c>
      <c r="C17" s="227">
        <f>IF(inputPrYr!D87&gt;0,inputPrYr!D87,"  ")</f>
        <v>4.7169999999999996</v>
      </c>
      <c r="D17" s="52">
        <f>IF('DebtSvs-Library'!D73&lt;&gt;0,'DebtSvs-Library'!D73,"  ")</f>
        <v>99787</v>
      </c>
      <c r="E17" s="227">
        <f>IF(inputOth!D26&gt;0,inputOth!D26,"  ")</f>
        <v>4.7750000000000004</v>
      </c>
      <c r="F17" s="52">
        <f>IF('DebtSvs-Library'!E73&lt;&gt;0,'DebtSvs-Library'!E73,"  ")</f>
        <v>106682</v>
      </c>
      <c r="G17" s="52">
        <f>IF('DebtSvs-Library'!E80&lt;&gt;0,'DebtSvs-Library'!E80,"  ")</f>
        <v>95503</v>
      </c>
      <c r="H17" s="227">
        <f>IF('DebtSvs-Library'!E80&lt;&gt;0,ROUND(G17/$F$58*1000,3),"  ")</f>
        <v>4.5789999999999997</v>
      </c>
    </row>
    <row r="18" spans="1:8" x14ac:dyDescent="0.2">
      <c r="A18" s="52" t="str">
        <f>IF(inputPrYr!$B22&gt;"  ",(inputPrYr!$B22),"  ")</f>
        <v>Employee Benefits</v>
      </c>
      <c r="B18" s="52">
        <f>IF('Employ Benys'!$C$32&gt;0,'Employ Benys'!$C$32,"  ")</f>
        <v>103324</v>
      </c>
      <c r="C18" s="227">
        <f>IF(inputPrYr!D88&gt;0,inputPrYr!D88,"  ")</f>
        <v>5.9939999999999998</v>
      </c>
      <c r="D18" s="52">
        <f>IF('Employ Benys'!$D$32&gt;0,'Employ Benys'!$D$32,"  ")</f>
        <v>125000</v>
      </c>
      <c r="E18" s="227">
        <f>IF(inputOth!D27&gt;0,inputOth!D27,"  ")</f>
        <v>5.8029999999999999</v>
      </c>
      <c r="F18" s="52">
        <f>IF('Employ Benys'!$E$32&gt;0,'Employ Benys'!$E$32,"  ")</f>
        <v>140000</v>
      </c>
      <c r="G18" s="52">
        <f>IF('Employ Benys'!$E$39&lt;&gt;0,'Employ Benys'!$E$39,"  ")</f>
        <v>107998</v>
      </c>
      <c r="H18" s="227">
        <f>IF('Employ Benys'!E39&lt;&gt;0,ROUND(G18/$F$58*1000,3),"  ")</f>
        <v>5.1779999999999999</v>
      </c>
    </row>
    <row r="19" spans="1:8" x14ac:dyDescent="0.2">
      <c r="A19" s="52" t="str">
        <f>IF(inputPrYr!$B23&gt;"  ",(inputPrYr!$B23),"  ")</f>
        <v>Library Employee Benefits</v>
      </c>
      <c r="B19" s="52">
        <f>IF('Employ Benys'!$C$72&gt;0,'Employ Benys'!$C$72,"  ")</f>
        <v>7860</v>
      </c>
      <c r="C19" s="227">
        <f>IF(inputPrYr!D89&gt;0,inputPrYr!D89,"  ")</f>
        <v>0.46</v>
      </c>
      <c r="D19" s="52">
        <f>IF('Employ Benys'!$D$72&gt;0,'Employ Benys'!$D$72,"  ")</f>
        <v>8600</v>
      </c>
      <c r="E19" s="227">
        <f>IF(inputOth!D28&gt;0,inputOth!D28,"  ")</f>
        <v>0.40699999999999997</v>
      </c>
      <c r="F19" s="52">
        <f>IF('Employ Benys'!$E$72&gt;0,'Employ Benys'!$E$72,"  ")</f>
        <v>8600</v>
      </c>
      <c r="G19" s="52">
        <f>IF('Employ Benys'!$E$79&lt;&gt;0,'Employ Benys'!$E$79,"  ")</f>
        <v>7895</v>
      </c>
      <c r="H19" s="227">
        <f>IF('Employ Benys'!E79&lt;&gt;0,ROUND(G19/$F$58*1000,3),"  ")</f>
        <v>0.379</v>
      </c>
    </row>
    <row r="20" spans="1:8" x14ac:dyDescent="0.2">
      <c r="A20" s="52" t="str">
        <f>IF(inputPrYr!$B24&gt;"  ",(inputPrYr!$B24),"  ")</f>
        <v>Special Tort Claim</v>
      </c>
      <c r="B20" s="52">
        <f>IF(tort!$C$33&gt;0,tort!$C$33,"  ")</f>
        <v>33920</v>
      </c>
      <c r="C20" s="227">
        <f>IF(inputPrYr!D90&gt;0,inputPrYr!D90,"  ")</f>
        <v>1.5049999999999999</v>
      </c>
      <c r="D20" s="52">
        <f>IF(tort!$D$33&gt;0,tort!$D$33,"  ")</f>
        <v>40000</v>
      </c>
      <c r="E20" s="227">
        <f>IF(inputOth!D29&gt;0,inputOth!D29,"  ")</f>
        <v>1.748</v>
      </c>
      <c r="F20" s="52">
        <f>IF(tort!$E$33&gt;0,tort!$E$33,"  ")</f>
        <v>42000</v>
      </c>
      <c r="G20" s="52">
        <f>IF(tort!$E$40&lt;&gt;0,tort!$E$40,"  ")</f>
        <v>36032</v>
      </c>
      <c r="H20" s="227">
        <f>IF(tort!E40&lt;&gt;0,ROUND(G20/$F$58*1000,3),"  ")</f>
        <v>1.728</v>
      </c>
    </row>
    <row r="21" spans="1:8" x14ac:dyDescent="0.2">
      <c r="A21" s="52" t="str">
        <f>IF(inputPrYr!$B25&gt;"  ",(inputPrYr!$B25),"  ")</f>
        <v xml:space="preserve">  </v>
      </c>
      <c r="B21" s="52" t="str">
        <f>IF(tort!$C$72&gt;0,tort!$C$72,"  ")</f>
        <v xml:space="preserve">  </v>
      </c>
      <c r="C21" s="227" t="str">
        <f>IF(inputPrYr!D91&gt;0,inputPrYr!D91,"  ")</f>
        <v xml:space="preserve">  </v>
      </c>
      <c r="D21" s="52" t="str">
        <f>IF(tort!$D$72&gt;0,tort!$D$72,"  ")</f>
        <v xml:space="preserve">  </v>
      </c>
      <c r="E21" s="227" t="str">
        <f>IF(inputOth!D30&gt;0,inputOth!D30,"  ")</f>
        <v xml:space="preserve">  </v>
      </c>
      <c r="F21" s="52" t="str">
        <f>IF(tort!$E$72&gt;0,tort!$E$72,"  ")</f>
        <v xml:space="preserve">  </v>
      </c>
      <c r="G21" s="52" t="str">
        <f>IF(tort!$E$79&lt;&gt;0,tort!$E$79,"  ")</f>
        <v xml:space="preserve">  </v>
      </c>
      <c r="H21" s="227" t="str">
        <f>IF(tort!E79&lt;&gt;0,ROUND(G21/$F$58*1000,3),"  ")</f>
        <v xml:space="preserve">  </v>
      </c>
    </row>
    <row r="22" spans="1:8" x14ac:dyDescent="0.2">
      <c r="A22" s="52" t="str">
        <f>IF(inputPrYr!$B26&gt;"  ",(inputPrYr!$B26),"  ")</f>
        <v xml:space="preserve">  </v>
      </c>
      <c r="B22" s="52" t="e">
        <f>IF(#REF!&gt;0,#REF!,"  ")</f>
        <v>#REF!</v>
      </c>
      <c r="C22" s="227" t="str">
        <f>IF(inputPrYr!D92&gt;0,inputPrYr!D92,"  ")</f>
        <v xml:space="preserve">  </v>
      </c>
      <c r="D22" s="52" t="e">
        <f>IF(#REF!&gt;0,#REF!,"  ")</f>
        <v>#REF!</v>
      </c>
      <c r="E22" s="227" t="str">
        <f>IF(inputOth!D31&gt;0,inputOth!D31,"  ")</f>
        <v xml:space="preserve">  </v>
      </c>
      <c r="F22" s="52" t="e">
        <f>IF(#REF!&gt;0,#REF!,"  ")</f>
        <v>#REF!</v>
      </c>
      <c r="G22" s="52" t="e">
        <f>IF(#REF!&lt;&gt;0,#REF!,"  ")</f>
        <v>#REF!</v>
      </c>
      <c r="H22" s="227" t="e">
        <f>IF(#REF!&lt;&gt;0,ROUND(G22/$F$58*1000,3),"  ")</f>
        <v>#REF!</v>
      </c>
    </row>
    <row r="23" spans="1:8" x14ac:dyDescent="0.2">
      <c r="A23" s="52" t="str">
        <f>IF(inputPrYr!$B27&gt;"  ",(inputPrYr!$B27),"  ")</f>
        <v xml:space="preserve">  </v>
      </c>
      <c r="B23" s="52" t="e">
        <f>IF(#REF!&gt;0,#REF!,"  ")</f>
        <v>#REF!</v>
      </c>
      <c r="C23" s="227" t="str">
        <f>IF(inputPrYr!D93&gt;0,inputPrYr!D93,"  ")</f>
        <v xml:space="preserve">  </v>
      </c>
      <c r="D23" s="52" t="e">
        <f>IF(#REF!&gt;0,#REF!,"  ")</f>
        <v>#REF!</v>
      </c>
      <c r="E23" s="227" t="str">
        <f>IF(inputOth!D32&gt;0,inputOth!D32,"  ")</f>
        <v xml:space="preserve">  </v>
      </c>
      <c r="F23" s="52" t="e">
        <f>IF(#REF!&gt;0,#REF!,"  ")</f>
        <v>#REF!</v>
      </c>
      <c r="G23" s="52" t="e">
        <f>IF(#REF!&lt;&gt;0,#REF!,"  ")</f>
        <v>#REF!</v>
      </c>
      <c r="H23" s="227" t="e">
        <f>IF(#REF!&lt;&gt;0,ROUND(G23/$F$58*1000,3),"  ")</f>
        <v>#REF!</v>
      </c>
    </row>
    <row r="24" spans="1:8" x14ac:dyDescent="0.2">
      <c r="A24" s="52" t="str">
        <f>IF(inputPrYr!$B28&gt;"  ",(inputPrYr!$B28),"  ")</f>
        <v xml:space="preserve">  </v>
      </c>
      <c r="B24" s="52" t="e">
        <f>IF(#REF!&gt;0,#REF!,"  ")</f>
        <v>#REF!</v>
      </c>
      <c r="C24" s="227" t="str">
        <f>IF(inputPrYr!D94&gt;0,inputPrYr!D94,"  ")</f>
        <v xml:space="preserve">  </v>
      </c>
      <c r="D24" s="52" t="e">
        <f>IF(#REF!&gt;0,#REF!,"  ")</f>
        <v>#REF!</v>
      </c>
      <c r="E24" s="227" t="str">
        <f>IF(inputOth!D33&gt;0,inputOth!D33,"  ")</f>
        <v xml:space="preserve">  </v>
      </c>
      <c r="F24" s="52" t="e">
        <f>IF(#REF!&gt;0,#REF!,"  ")</f>
        <v>#REF!</v>
      </c>
      <c r="G24" s="52" t="e">
        <f>IF(#REF!&lt;&gt;0,#REF!,"  ")</f>
        <v>#REF!</v>
      </c>
      <c r="H24" s="227" t="e">
        <f>IF(#REF!&lt;&gt;0,ROUND(G24/$F$58*1000,3),"  ")</f>
        <v>#REF!</v>
      </c>
    </row>
    <row r="25" spans="1:8" x14ac:dyDescent="0.2">
      <c r="A25" s="52" t="str">
        <f>IF(inputPrYr!$B29&gt;"  ",(inputPrYr!$B29),"  ")</f>
        <v xml:space="preserve">  </v>
      </c>
      <c r="B25" s="52" t="e">
        <f>IF(#REF!&gt;0,#REF!,"  ")</f>
        <v>#REF!</v>
      </c>
      <c r="C25" s="227" t="str">
        <f>IF(inputPrYr!D95&gt;0,inputPrYr!D95,"  ")</f>
        <v xml:space="preserve">  </v>
      </c>
      <c r="D25" s="52" t="e">
        <f>IF(#REF!&gt;0,#REF!,"  ")</f>
        <v>#REF!</v>
      </c>
      <c r="E25" s="227" t="str">
        <f>IF(inputOth!D34&gt;0,inputOth!D34,"  ")</f>
        <v xml:space="preserve">  </v>
      </c>
      <c r="F25" s="52" t="e">
        <f>IF(#REF!&gt;0,#REF!,"  ")</f>
        <v>#REF!</v>
      </c>
      <c r="G25" s="52" t="e">
        <f>IF(#REF!&lt;&gt;0,#REF!,"  ")</f>
        <v>#REF!</v>
      </c>
      <c r="H25" s="227" t="e">
        <f>IF(#REF!&lt;&gt;0,ROUND(G25/$F$58*1000,3),"  ")</f>
        <v>#REF!</v>
      </c>
    </row>
    <row r="26" spans="1:8" x14ac:dyDescent="0.2">
      <c r="A26" s="52" t="str">
        <f>IF(inputPrYr!$B30&gt;"  ",(inputPrYr!$B30),"  ")</f>
        <v xml:space="preserve">  </v>
      </c>
      <c r="B26" s="52" t="e">
        <f>IF(#REF!&gt;0,#REF!,"  ")</f>
        <v>#REF!</v>
      </c>
      <c r="C26" s="227" t="str">
        <f>IF(inputPrYr!D96&gt;0,inputPrYr!D96,"  ")</f>
        <v xml:space="preserve">  </v>
      </c>
      <c r="D26" s="52" t="e">
        <f>IF(#REF!&gt;0,#REF!,"  ")</f>
        <v>#REF!</v>
      </c>
      <c r="E26" s="227" t="str">
        <f>IF(inputOth!D35&gt;0,inputOth!D35,"  ")</f>
        <v xml:space="preserve">  </v>
      </c>
      <c r="F26" s="52" t="e">
        <f>IF(#REF!&gt;0,#REF!,"  ")</f>
        <v>#REF!</v>
      </c>
      <c r="G26" s="52" t="e">
        <f>IF(#REF!&lt;&gt;0,#REF!,"  ")</f>
        <v>#REF!</v>
      </c>
      <c r="H26" s="227" t="e">
        <f>IF(#REF!&lt;&gt;0,ROUND(G26/$F$58*1000,3),"  ")</f>
        <v>#REF!</v>
      </c>
    </row>
    <row r="27" spans="1:8" x14ac:dyDescent="0.2">
      <c r="A27" s="52" t="str">
        <f>IF(inputPrYr!B31&gt;"  ",(inputPrYr!B31),"  ")</f>
        <v xml:space="preserve">  </v>
      </c>
      <c r="B27" s="52" t="e">
        <f>IF(#REF!&gt;0,#REF!,"  ")</f>
        <v>#REF!</v>
      </c>
      <c r="C27" s="227" t="str">
        <f>IF(inputPrYr!D97&gt;0,inputPrYr!D97,"  ")</f>
        <v xml:space="preserve">  </v>
      </c>
      <c r="D27" s="52" t="e">
        <f>IF(#REF!&gt;0,#REF!,"  ")</f>
        <v>#REF!</v>
      </c>
      <c r="E27" s="227" t="str">
        <f>IF(inputOth!D36&gt;0,inputOth!D36,"  ")</f>
        <v xml:space="preserve">  </v>
      </c>
      <c r="F27" s="52" t="e">
        <f>IF(#REF!&gt;0,#REF!,"  ")</f>
        <v>#REF!</v>
      </c>
      <c r="G27" s="52" t="e">
        <f>IF(#REF!&lt;&gt;0,#REF!,"  ")</f>
        <v>#REF!</v>
      </c>
      <c r="H27" s="227" t="e">
        <f>IF(#REF!&lt;&gt;0,ROUND(G27/$F$58*1000,3),"  ")</f>
        <v>#REF!</v>
      </c>
    </row>
    <row r="28" spans="1:8" x14ac:dyDescent="0.2">
      <c r="A28" s="52" t="str">
        <f>IF(inputPrYr!$B35&gt;"  ",(inputPrYr!$B35),"  ")</f>
        <v>Special Highway</v>
      </c>
      <c r="B28" s="52" t="str">
        <f>IF('Spec Hwy'!$C$26&gt;0,'Spec Hwy'!$C$26,"  ")</f>
        <v xml:space="preserve">  </v>
      </c>
      <c r="C28" s="38"/>
      <c r="D28" s="52" t="str">
        <f>IF('Spec Hwy'!$D$26&gt;0,'Spec Hwy'!$D$26,"  ")</f>
        <v xml:space="preserve">  </v>
      </c>
      <c r="E28" s="38"/>
      <c r="F28" s="52" t="str">
        <f>IF('Spec Hwy'!$E$26&gt;0,'Spec Hwy'!$E$26,"  ")</f>
        <v xml:space="preserve">  </v>
      </c>
      <c r="G28" s="52"/>
      <c r="H28" s="227"/>
    </row>
    <row r="29" spans="1:8" x14ac:dyDescent="0.2">
      <c r="A29" s="52" t="str">
        <f>IF(inputPrYr!$B36&gt;"  ",(inputPrYr!$B36),"  ")</f>
        <v>Building Capital Improvement</v>
      </c>
      <c r="B29" s="52" t="str">
        <f>IF('Spec Hwy'!$C$57&gt;0,'Spec Hwy'!$C$57,"  ")</f>
        <v xml:space="preserve">  </v>
      </c>
      <c r="C29" s="38"/>
      <c r="D29" s="52" t="str">
        <f>IF('Spec Hwy'!$D$57&gt;0,'Spec Hwy'!$D$57,"  ")</f>
        <v xml:space="preserve">  </v>
      </c>
      <c r="E29" s="38"/>
      <c r="F29" s="52" t="str">
        <f>IF('Spec Hwy'!$E$57&gt;0,'Spec Hwy'!$E$57,"  ")</f>
        <v xml:space="preserve">  </v>
      </c>
      <c r="G29" s="52"/>
      <c r="H29" s="227"/>
    </row>
    <row r="30" spans="1:8" x14ac:dyDescent="0.2">
      <c r="A30" s="52" t="str">
        <f>IF(inputPrYr!$B37&gt;"  ",(inputPrYr!$B37),"  ")</f>
        <v>Cemetary Perpetual Care</v>
      </c>
      <c r="B30" s="52" t="str">
        <f>IF(cemetary!$C$28&gt;0,cemetary!$C$28,"  ")</f>
        <v xml:space="preserve">  </v>
      </c>
      <c r="C30" s="38"/>
      <c r="D30" s="52" t="str">
        <f>IF(cemetary!$D$28&gt;0,cemetary!$D$28,"  ")</f>
        <v xml:space="preserve">  </v>
      </c>
      <c r="E30" s="38"/>
      <c r="F30" s="52" t="str">
        <f>IF(cemetary!$E$28&gt;0,cemetary!$E$28,"  ")</f>
        <v xml:space="preserve">  </v>
      </c>
      <c r="G30" s="52"/>
      <c r="H30" s="227"/>
    </row>
    <row r="31" spans="1:8" x14ac:dyDescent="0.2">
      <c r="A31" s="52" t="str">
        <f>IF(inputPrYr!$B38&gt;"  ",(inputPrYr!$B38),"  ")</f>
        <v xml:space="preserve">  </v>
      </c>
      <c r="B31" s="52" t="str">
        <f>IF(cemetary!$C$57&gt;0,cemetary!$C$57,"  ")</f>
        <v xml:space="preserve">  </v>
      </c>
      <c r="C31" s="38"/>
      <c r="D31" s="52" t="str">
        <f>IF(cemetary!$D$57&gt;0,cemetary!$D$57,"  ")</f>
        <v xml:space="preserve">  </v>
      </c>
      <c r="E31" s="38"/>
      <c r="F31" s="52" t="str">
        <f>IF(cemetary!$E$57&gt;0,cemetary!$E$57,"  ")</f>
        <v xml:space="preserve">  </v>
      </c>
      <c r="G31" s="52"/>
      <c r="H31" s="227"/>
    </row>
    <row r="32" spans="1:8" x14ac:dyDescent="0.2">
      <c r="A32" s="52" t="str">
        <f>IF(inputPrYr!$B39&gt;"  ",(inputPrYr!$B39),"  ")</f>
        <v xml:space="preserve">  </v>
      </c>
      <c r="B32" s="52" t="e">
        <f>IF(#REF!&gt;0,#REF!,"  ")</f>
        <v>#REF!</v>
      </c>
      <c r="C32" s="38"/>
      <c r="D32" s="52" t="e">
        <f>IF(#REF!&gt;0,#REF!,"  ")</f>
        <v>#REF!</v>
      </c>
      <c r="E32" s="38"/>
      <c r="F32" s="52" t="e">
        <f>IF(#REF!&gt;0,#REF!,"  ")</f>
        <v>#REF!</v>
      </c>
      <c r="G32" s="38"/>
      <c r="H32" s="38"/>
    </row>
    <row r="33" spans="1:13" x14ac:dyDescent="0.2">
      <c r="A33" s="52" t="str">
        <f>IF(inputPrYr!$B40&gt;"  ",(inputPrYr!$B40),"  ")</f>
        <v xml:space="preserve">  </v>
      </c>
      <c r="B33" s="52" t="e">
        <f>IF(#REF!&gt;0,#REF!,"  ")</f>
        <v>#REF!</v>
      </c>
      <c r="C33" s="38"/>
      <c r="D33" s="52" t="e">
        <f>IF(#REF!&gt;0,#REF!,"  ")</f>
        <v>#REF!</v>
      </c>
      <c r="E33" s="38"/>
      <c r="F33" s="52" t="e">
        <f>IF(#REF!&gt;0,#REF!,"  ")</f>
        <v>#REF!</v>
      </c>
      <c r="G33" s="38"/>
      <c r="H33" s="38"/>
    </row>
    <row r="34" spans="1:13" x14ac:dyDescent="0.2">
      <c r="A34" s="52" t="str">
        <f>IF(inputPrYr!$B41&gt;"  ",(inputPrYr!$B41),"  ")</f>
        <v xml:space="preserve">  </v>
      </c>
      <c r="B34" s="52" t="e">
        <f>IF(#REF!&gt;0,#REF!,"  ")</f>
        <v>#REF!</v>
      </c>
      <c r="C34" s="38"/>
      <c r="D34" s="52" t="e">
        <f>IF(#REF!&gt;0,#REF!,"  ")</f>
        <v>#REF!</v>
      </c>
      <c r="E34" s="38"/>
      <c r="F34" s="52" t="e">
        <f>IF(#REF!&gt;0,#REF!,"  ")</f>
        <v>#REF!</v>
      </c>
      <c r="G34" s="38"/>
      <c r="H34" s="38"/>
    </row>
    <row r="35" spans="1:13" x14ac:dyDescent="0.2">
      <c r="A35" s="52" t="str">
        <f>IF(inputPrYr!$B42&gt;"  ",(inputPrYr!$B42),"  ")</f>
        <v xml:space="preserve">  </v>
      </c>
      <c r="B35" s="52" t="e">
        <f>IF(#REF!&gt;0,#REF!,"  ")</f>
        <v>#REF!</v>
      </c>
      <c r="C35" s="38"/>
      <c r="D35" s="52" t="e">
        <f>IF(#REF!&gt;0,#REF!,"  ")</f>
        <v>#REF!</v>
      </c>
      <c r="E35" s="38"/>
      <c r="F35" s="52" t="e">
        <f>IF(#REF!&gt;0,#REF!,"  ")</f>
        <v>#REF!</v>
      </c>
      <c r="G35" s="38"/>
      <c r="H35" s="38"/>
    </row>
    <row r="36" spans="1:13" x14ac:dyDescent="0.2">
      <c r="A36" s="52" t="str">
        <f>IF(inputPrYr!$B43&gt;"  ",(inputPrYr!$B43),"  ")</f>
        <v xml:space="preserve">  </v>
      </c>
      <c r="B36" s="52" t="e">
        <f>IF(#REF!&gt;0,#REF!,"  ")</f>
        <v>#REF!</v>
      </c>
      <c r="C36" s="38"/>
      <c r="D36" s="52" t="e">
        <f>IF(#REF!&gt;0,#REF!,"  ")</f>
        <v>#REF!</v>
      </c>
      <c r="E36" s="38"/>
      <c r="F36" s="52" t="e">
        <f>IF(#REF!&gt;0,#REF!,"  ")</f>
        <v>#REF!</v>
      </c>
      <c r="G36" s="38"/>
      <c r="H36" s="38"/>
    </row>
    <row r="37" spans="1:13" x14ac:dyDescent="0.2">
      <c r="A37" s="52" t="str">
        <f>IF(inputPrYr!$B44&gt;"  ",(inputPrYr!$B44),"  ")</f>
        <v xml:space="preserve">  </v>
      </c>
      <c r="B37" s="52" t="e">
        <f>IF(#REF!&gt;0,#REF!,"  ")</f>
        <v>#REF!</v>
      </c>
      <c r="C37" s="38"/>
      <c r="D37" s="52" t="e">
        <f>IF(#REF!&gt;0,#REF!,"  ")</f>
        <v>#REF!</v>
      </c>
      <c r="E37" s="38"/>
      <c r="F37" s="52" t="e">
        <f>IF(#REF!&gt;0,#REF!,"  ")</f>
        <v>#REF!</v>
      </c>
      <c r="G37" s="38"/>
      <c r="H37" s="38"/>
    </row>
    <row r="38" spans="1:13" x14ac:dyDescent="0.2">
      <c r="A38" s="52" t="str">
        <f>IF(inputPrYr!$B45&gt;"  ",(inputPrYr!$B45),"  ")</f>
        <v xml:space="preserve">  </v>
      </c>
      <c r="B38" s="52" t="e">
        <f>IF(#REF!&gt;0,#REF!,"  ")</f>
        <v>#REF!</v>
      </c>
      <c r="C38" s="38"/>
      <c r="D38" s="52" t="e">
        <f>IF(#REF!&gt;0,#REF!,"  ")</f>
        <v>#REF!</v>
      </c>
      <c r="E38" s="38"/>
      <c r="F38" s="52" t="e">
        <f>IF(#REF!&gt;0,#REF!,"  ")</f>
        <v>#REF!</v>
      </c>
      <c r="G38" s="38"/>
      <c r="H38" s="38"/>
    </row>
    <row r="39" spans="1:13" x14ac:dyDescent="0.2">
      <c r="A39" s="52" t="str">
        <f>IF(inputPrYr!$B46&gt;"  ",(inputPrYr!$B46),"  ")</f>
        <v xml:space="preserve">  </v>
      </c>
      <c r="B39" s="52" t="e">
        <f>IF(#REF!&gt;0,#REF!,"  ")</f>
        <v>#REF!</v>
      </c>
      <c r="C39" s="38"/>
      <c r="D39" s="52" t="e">
        <f>IF(#REF!&gt;0,#REF!,"  ")</f>
        <v>#REF!</v>
      </c>
      <c r="E39" s="38"/>
      <c r="F39" s="52" t="e">
        <f>IF(#REF!&gt;0,#REF!,"  ")</f>
        <v>#REF!</v>
      </c>
      <c r="G39" s="38"/>
      <c r="H39" s="38"/>
    </row>
    <row r="40" spans="1:13" x14ac:dyDescent="0.2">
      <c r="A40" s="52" t="str">
        <f>IF(inputPrYr!$B47&gt;"  ",(inputPrYr!$B47),"  ")</f>
        <v xml:space="preserve">  </v>
      </c>
      <c r="B40" s="52" t="e">
        <f>IF(#REF!&gt;0,#REF!,"  ")</f>
        <v>#REF!</v>
      </c>
      <c r="C40" s="38"/>
      <c r="D40" s="52" t="e">
        <f>IF(#REF!&gt;0,#REF!,"  ")</f>
        <v>#REF!</v>
      </c>
      <c r="E40" s="38"/>
      <c r="F40" s="52" t="e">
        <f>IF(#REF!&gt;0,#REF!,"  ")</f>
        <v>#REF!</v>
      </c>
      <c r="G40" s="38"/>
      <c r="H40" s="38"/>
    </row>
    <row r="41" spans="1:13" x14ac:dyDescent="0.25">
      <c r="A41" s="52" t="str">
        <f>IF(inputPrYr!$B48&gt;"  ",(inputPrYr!$B48),"  ")</f>
        <v xml:space="preserve">  </v>
      </c>
      <c r="B41" s="52" t="e">
        <f>IF(#REF!&gt;0,#REF!,"  ")</f>
        <v>#REF!</v>
      </c>
      <c r="C41" s="38"/>
      <c r="D41" s="52" t="e">
        <f>IF(#REF!&gt;0,#REF!,"  ")</f>
        <v>#REF!</v>
      </c>
      <c r="E41" s="38"/>
      <c r="F41" s="52" t="e">
        <f>IF(#REF!&gt;0,#REF!,"  ")</f>
        <v>#REF!</v>
      </c>
      <c r="G41" s="38"/>
      <c r="H41" s="38"/>
      <c r="J41" s="742" t="str">
        <f>CONCATENATE("Estimated Value Of One Mill For ",H2,"")</f>
        <v>Estimated Value Of One Mill For 2024</v>
      </c>
      <c r="K41" s="743"/>
      <c r="L41" s="743"/>
      <c r="M41" s="744"/>
    </row>
    <row r="42" spans="1:13" x14ac:dyDescent="0.25">
      <c r="A42" s="52" t="str">
        <f>IF(inputPrYr!$B49&gt;"  ",(inputPrYr!$B49),"  ")</f>
        <v xml:space="preserve">  </v>
      </c>
      <c r="B42" s="52" t="e">
        <f>IF(#REF!&gt;0,#REF!,"  ")</f>
        <v>#REF!</v>
      </c>
      <c r="C42" s="38"/>
      <c r="D42" s="52" t="e">
        <f>IF(#REF!&gt;0,#REF!,"  ")</f>
        <v>#REF!</v>
      </c>
      <c r="E42" s="38"/>
      <c r="F42" s="52" t="e">
        <f>IF(#REF!&gt;0,#REF!,"  ")</f>
        <v>#REF!</v>
      </c>
      <c r="G42" s="38"/>
      <c r="H42" s="38"/>
      <c r="J42" s="312"/>
      <c r="K42" s="313"/>
      <c r="L42" s="313"/>
      <c r="M42" s="314"/>
    </row>
    <row r="43" spans="1:13" x14ac:dyDescent="0.25">
      <c r="A43" s="52" t="str">
        <f>IF(inputPrYr!$B50&gt;"  ",(inputPrYr!$B50),"  ")</f>
        <v xml:space="preserve">  </v>
      </c>
      <c r="B43" s="52" t="e">
        <f>IF(#REF!&gt;0,#REF!,"  ")</f>
        <v>#REF!</v>
      </c>
      <c r="C43" s="38"/>
      <c r="D43" s="52" t="e">
        <f>IF(#REF!&gt;0,#REF!,"  ")</f>
        <v>#REF!</v>
      </c>
      <c r="E43" s="38"/>
      <c r="F43" s="52" t="e">
        <f>IF(#REF!&gt;0,#REF!,"  ")</f>
        <v>#REF!</v>
      </c>
      <c r="G43" s="38"/>
      <c r="H43" s="38"/>
      <c r="J43" s="315" t="s">
        <v>341</v>
      </c>
      <c r="K43" s="316"/>
      <c r="L43" s="316"/>
      <c r="M43" s="499">
        <f>ROUND(F58/1000,0)</f>
        <v>20856</v>
      </c>
    </row>
    <row r="44" spans="1:13" x14ac:dyDescent="0.2">
      <c r="A44" s="52" t="str">
        <f>IF(inputPrYr!$B52&gt;"  ",(inputPrYr!$B52),"  ")</f>
        <v>Combined Sales Tax Improv</v>
      </c>
      <c r="B44" s="52" t="str">
        <f>IF('Combined sales tax'!$C$44&gt;0,'Combined sales tax'!$C$44,"  ")</f>
        <v xml:space="preserve">  </v>
      </c>
      <c r="C44" s="38"/>
      <c r="D44" s="52" t="str">
        <f>IF('Combined sales tax'!$D$44&gt;0,'Combined sales tax'!$D$44,"  ")</f>
        <v xml:space="preserve">  </v>
      </c>
      <c r="E44" s="38"/>
      <c r="F44" s="52" t="str">
        <f>IF('Combined sales tax'!$E$44&gt;0,'Combined sales tax'!$E$44,"  ")</f>
        <v xml:space="preserve">  </v>
      </c>
      <c r="G44" s="38"/>
      <c r="H44" s="38"/>
    </row>
    <row r="45" spans="1:13" x14ac:dyDescent="0.25">
      <c r="A45" s="52" t="str">
        <f>IF(inputPrYr!$B53&gt;"  ",(inputPrYr!$B53),"  ")</f>
        <v>Community Enhanc Sales Tax</v>
      </c>
      <c r="B45" s="52" t="str">
        <f>IF('Community sales tax'!$C$44&gt;0,'Community sales tax'!$C$44,"  ")</f>
        <v xml:space="preserve">  </v>
      </c>
      <c r="C45" s="38"/>
      <c r="D45" s="52" t="str">
        <f>IF('Community sales tax'!$D$44&gt;0,'Community sales tax'!$D$44,"  ")</f>
        <v xml:space="preserve">  </v>
      </c>
      <c r="E45" s="38"/>
      <c r="F45" s="52" t="str">
        <f>IF('Community sales tax'!$E$44&gt;0,'Community sales tax'!$E$44,"  ")</f>
        <v xml:space="preserve">  </v>
      </c>
      <c r="G45" s="38"/>
      <c r="H45" s="38"/>
      <c r="J45" s="742" t="str">
        <f>CONCATENATE("Want The Mill Rate The Same As For ",H2-1,"?")</f>
        <v>Want The Mill Rate The Same As For 2023?</v>
      </c>
      <c r="K45" s="743"/>
      <c r="L45" s="743"/>
      <c r="M45" s="744"/>
    </row>
    <row r="46" spans="1:13" x14ac:dyDescent="0.25">
      <c r="A46" s="52" t="str">
        <f>IF(inputPrYr!$B54&gt;"  ",(inputPrYr!$B54),"  ")</f>
        <v>Water/Sewer/Refuse Utitly</v>
      </c>
      <c r="B46" s="52" t="str">
        <f>IF('WaterSewer Utility'!$C$44&gt;0,'WaterSewer Utility'!$C$44,"  ")</f>
        <v xml:space="preserve">  </v>
      </c>
      <c r="C46" s="38"/>
      <c r="D46" s="52" t="str">
        <f>IF('WaterSewer Utility'!$D$44&gt;0,'WaterSewer Utility'!$D$44,"  ")</f>
        <v xml:space="preserve">  </v>
      </c>
      <c r="E46" s="38"/>
      <c r="F46" s="52" t="str">
        <f>IF('WaterSewer Utility'!$E$44&gt;0,'WaterSewer Utility'!$E$44,"  ")</f>
        <v xml:space="preserve">  </v>
      </c>
      <c r="G46" s="38"/>
      <c r="H46" s="38"/>
      <c r="J46" s="319"/>
      <c r="K46" s="313"/>
      <c r="L46" s="313"/>
      <c r="M46" s="320"/>
    </row>
    <row r="47" spans="1:13" x14ac:dyDescent="0.25">
      <c r="A47" s="52" t="str">
        <f>IF(inputPrYr!$B55&gt;"  ",(inputPrYr!$B55),"  ")</f>
        <v xml:space="preserve">  </v>
      </c>
      <c r="B47" s="52" t="e">
        <f>IF(#REF!&gt;0,#REF!,"  ")</f>
        <v>#REF!</v>
      </c>
      <c r="C47" s="38"/>
      <c r="D47" s="52" t="e">
        <f>IF(#REF!&gt;0,#REF!,"  ")</f>
        <v>#REF!</v>
      </c>
      <c r="E47" s="38"/>
      <c r="F47" s="52" t="e">
        <f>IF(#REF!&gt;0,#REF!,"  ")</f>
        <v>#REF!</v>
      </c>
      <c r="G47" s="38"/>
      <c r="H47" s="38"/>
      <c r="J47" s="319" t="str">
        <f>CONCATENATE("",H2-1," Mill Rate Was:")</f>
        <v>2023 Mill Rate Was:</v>
      </c>
      <c r="K47" s="313"/>
      <c r="L47" s="313"/>
      <c r="M47" s="321">
        <f>E52</f>
        <v>54.954999999999991</v>
      </c>
    </row>
    <row r="48" spans="1:13" x14ac:dyDescent="0.25">
      <c r="A48" s="52" t="str">
        <f>IF(inputPrYr!$B58&gt;"  ",('Reserve Funds A'!$A3),"  ")</f>
        <v>Non-Budgeted Funds-A</v>
      </c>
      <c r="B48" s="52" t="str">
        <f>IF('Reserve Funds A'!$K$28&gt;0,'Reserve Funds A'!$K$28,"  ")</f>
        <v xml:space="preserve">  </v>
      </c>
      <c r="C48" s="38"/>
      <c r="D48" s="52"/>
      <c r="E48" s="38"/>
      <c r="F48" s="52"/>
      <c r="G48" s="38"/>
      <c r="H48" s="38"/>
      <c r="J48" s="322" t="str">
        <f>CONCATENATE("",H2," Tax Levy Fund Expenditures Must Be")</f>
        <v>2024 Tax Levy Fund Expenditures Must Be</v>
      </c>
      <c r="K48" s="323"/>
      <c r="L48" s="323"/>
      <c r="M48" s="320"/>
    </row>
    <row r="49" spans="1:13" x14ac:dyDescent="0.25">
      <c r="A49" s="52" t="str">
        <f>IF(inputPrYr!$B64&gt;"  ",('Reserve Funds B'!$A3),"  ")</f>
        <v>Non-Budgeted Funds-B</v>
      </c>
      <c r="B49" s="52" t="str">
        <f>IF('Reserve Funds B'!$K$28&gt;0,'Reserve Funds B'!$K$28,"  ")</f>
        <v xml:space="preserve">  </v>
      </c>
      <c r="C49" s="38"/>
      <c r="D49" s="52"/>
      <c r="E49" s="38"/>
      <c r="F49" s="52"/>
      <c r="G49" s="38"/>
      <c r="H49" s="38"/>
      <c r="J49" s="322" t="e">
        <f>IF(M49&gt;0,"Increased By:","")</f>
        <v>#REF!</v>
      </c>
      <c r="K49" s="323"/>
      <c r="L49" s="323"/>
      <c r="M49" s="361" t="e">
        <f>IF(M56&lt;0,M56*-1,0)</f>
        <v>#REF!</v>
      </c>
    </row>
    <row r="50" spans="1:13" x14ac:dyDescent="0.2">
      <c r="A50" s="52" t="str">
        <f>IF(inputPrYr!$B70&gt;"  ",(#REF!),"  ")</f>
        <v xml:space="preserve">  </v>
      </c>
      <c r="B50" s="52" t="e">
        <f>IF(#REF!&gt;0,#REF!,"  ")</f>
        <v>#REF!</v>
      </c>
      <c r="C50" s="38"/>
      <c r="D50" s="52"/>
      <c r="E50" s="38"/>
      <c r="F50" s="52"/>
      <c r="G50" s="38"/>
      <c r="H50" s="38"/>
      <c r="J50" s="362" t="e">
        <f>IF(M50&lt;0,"Reduced By:","")</f>
        <v>#REF!</v>
      </c>
      <c r="K50" s="363"/>
      <c r="L50" s="363"/>
      <c r="M50" s="364" t="e">
        <f>IF(M56&gt;0,M56*-1,0)</f>
        <v>#REF!</v>
      </c>
    </row>
    <row r="51" spans="1:13" ht="16.5" thickBot="1" x14ac:dyDescent="0.3">
      <c r="A51" s="52" t="str">
        <f>IF(inputPrYr!$B76&gt;"  ",(#REF!),"  ")</f>
        <v xml:space="preserve">  </v>
      </c>
      <c r="B51" s="330" t="e">
        <f>IF(#REF!&gt;0,#REF!,"  ")</f>
        <v>#REF!</v>
      </c>
      <c r="C51" s="331"/>
      <c r="D51" s="330"/>
      <c r="E51" s="331"/>
      <c r="F51" s="330"/>
      <c r="G51" s="331"/>
      <c r="H51" s="331"/>
      <c r="J51" s="318"/>
      <c r="K51" s="318"/>
      <c r="L51" s="318"/>
      <c r="M51" s="318"/>
    </row>
    <row r="52" spans="1:13" ht="16.5" thickBot="1" x14ac:dyDescent="0.3">
      <c r="A52" s="574" t="s">
        <v>351</v>
      </c>
      <c r="B52" s="575" t="e">
        <f>SUM(B15:B51)</f>
        <v>#REF!</v>
      </c>
      <c r="C52" s="576">
        <f>SUM(C15:C27)</f>
        <v>51.578000000000003</v>
      </c>
      <c r="D52" s="575" t="e">
        <f>SUM(D15:D51)</f>
        <v>#REF!</v>
      </c>
      <c r="E52" s="576">
        <f>SUM(E15:E27)</f>
        <v>54.954999999999991</v>
      </c>
      <c r="F52" s="575" t="e">
        <f>SUM(F15:F51)</f>
        <v>#REF!</v>
      </c>
      <c r="G52" s="575" t="e">
        <f>SUM(G15:G51)</f>
        <v>#REF!</v>
      </c>
      <c r="H52" s="576" t="e">
        <f>SUM(H15:H27)</f>
        <v>#REF!</v>
      </c>
      <c r="J52" s="742" t="str">
        <f>CONCATENATE("Impact On Keeping The Same Mill Rate As For ",H2-1,"")</f>
        <v>Impact On Keeping The Same Mill Rate As For 2023</v>
      </c>
      <c r="K52" s="749"/>
      <c r="L52" s="749"/>
      <c r="M52" s="750"/>
    </row>
    <row r="53" spans="1:13" ht="16.5" thickTop="1" x14ac:dyDescent="0.25">
      <c r="A53" s="733" t="s">
        <v>565</v>
      </c>
      <c r="B53" s="734"/>
      <c r="C53" s="734"/>
      <c r="D53" s="734"/>
      <c r="E53" s="734"/>
      <c r="F53" s="734"/>
      <c r="G53" s="735"/>
      <c r="H53" s="573">
        <f>inputOth!D20</f>
        <v>50.973999999999997</v>
      </c>
      <c r="I53" s="327"/>
      <c r="J53" s="319"/>
      <c r="K53" s="313"/>
      <c r="L53" s="313"/>
      <c r="M53" s="320"/>
    </row>
    <row r="54" spans="1:13" x14ac:dyDescent="0.25">
      <c r="A54" s="29" t="s">
        <v>84</v>
      </c>
      <c r="B54" s="295">
        <f>Transfers!D26</f>
        <v>0</v>
      </c>
      <c r="C54" s="356"/>
      <c r="D54" s="295">
        <f>Transfers!E26</f>
        <v>0</v>
      </c>
      <c r="E54" s="240"/>
      <c r="F54" s="295">
        <f>Transfers!F26</f>
        <v>0</v>
      </c>
      <c r="G54" s="354"/>
      <c r="H54" s="240"/>
      <c r="J54" s="319" t="str">
        <f>CONCATENATE("",H2," Ad Valorem Tax Revenue:")</f>
        <v>2024 Ad Valorem Tax Revenue:</v>
      </c>
      <c r="K54" s="313"/>
      <c r="L54" s="313"/>
      <c r="M54" s="314" t="e">
        <f>G52</f>
        <v>#REF!</v>
      </c>
    </row>
    <row r="55" spans="1:13" ht="16.5" thickBot="1" x14ac:dyDescent="0.3">
      <c r="A55" s="29" t="s">
        <v>85</v>
      </c>
      <c r="B55" s="237" t="e">
        <f>B52-B54</f>
        <v>#REF!</v>
      </c>
      <c r="C55" s="28"/>
      <c r="D55" s="237" t="e">
        <f>D52-D54</f>
        <v>#REF!</v>
      </c>
      <c r="E55" s="28"/>
      <c r="F55" s="237" t="e">
        <f>F52-F54</f>
        <v>#REF!</v>
      </c>
      <c r="G55" s="28"/>
      <c r="H55" s="28"/>
      <c r="J55" s="319" t="str">
        <f>CONCATENATE("",H2-1," Ad Valorem Tax Revenue:")</f>
        <v>2023 Ad Valorem Tax Revenue:</v>
      </c>
      <c r="K55" s="313"/>
      <c r="L55" s="313"/>
      <c r="M55" s="326">
        <f>ROUND(F58*M47/1000,0)</f>
        <v>1146142</v>
      </c>
    </row>
    <row r="56" spans="1:13" ht="16.5" thickTop="1" x14ac:dyDescent="0.25">
      <c r="A56" s="29" t="s">
        <v>86</v>
      </c>
      <c r="B56" s="295">
        <f>inputPrYr!$E$100</f>
        <v>898288</v>
      </c>
      <c r="C56" s="47"/>
      <c r="D56" s="295">
        <f>inputPrYr!$E$32</f>
        <v>1063125</v>
      </c>
      <c r="E56" s="47"/>
      <c r="F56" s="228" t="s">
        <v>49</v>
      </c>
      <c r="G56" s="28"/>
      <c r="H56" s="28"/>
      <c r="J56" s="324" t="s">
        <v>342</v>
      </c>
      <c r="K56" s="325"/>
      <c r="L56" s="325"/>
      <c r="M56" s="317" t="e">
        <f>SUM(M54-M55)</f>
        <v>#REF!</v>
      </c>
    </row>
    <row r="57" spans="1:13" x14ac:dyDescent="0.25">
      <c r="A57" s="29" t="s">
        <v>87</v>
      </c>
      <c r="B57" s="114"/>
      <c r="C57" s="28"/>
      <c r="D57" s="296"/>
      <c r="E57" s="115"/>
      <c r="F57" s="95"/>
      <c r="G57" s="28"/>
      <c r="H57" s="28"/>
      <c r="J57" s="318"/>
      <c r="K57" s="318"/>
      <c r="L57" s="318"/>
      <c r="M57" s="318"/>
    </row>
    <row r="58" spans="1:13" x14ac:dyDescent="0.25">
      <c r="A58" s="29" t="s">
        <v>88</v>
      </c>
      <c r="B58" s="295">
        <f>inputPrYr!$E$101</f>
        <v>17416209</v>
      </c>
      <c r="C58" s="28"/>
      <c r="D58" s="295">
        <f>inputOth!$E$39</f>
        <v>19345400</v>
      </c>
      <c r="E58" s="28"/>
      <c r="F58" s="295">
        <f>inputOth!$E$7</f>
        <v>20856018</v>
      </c>
      <c r="G58" s="28"/>
      <c r="H58" s="28"/>
      <c r="J58" s="742" t="s">
        <v>343</v>
      </c>
      <c r="K58" s="747"/>
      <c r="L58" s="747"/>
      <c r="M58" s="748"/>
    </row>
    <row r="59" spans="1:13" x14ac:dyDescent="0.25">
      <c r="A59" s="29" t="s">
        <v>89</v>
      </c>
      <c r="B59" s="28"/>
      <c r="C59" s="28"/>
      <c r="D59" s="28"/>
      <c r="E59" s="28"/>
      <c r="F59" s="28"/>
      <c r="G59" s="28"/>
      <c r="H59" s="28"/>
      <c r="J59" s="319"/>
      <c r="K59" s="313"/>
      <c r="L59" s="313"/>
      <c r="M59" s="320"/>
    </row>
    <row r="60" spans="1:13" ht="13.5" customHeight="1" x14ac:dyDescent="0.25">
      <c r="A60" s="29" t="s">
        <v>90</v>
      </c>
      <c r="B60" s="229">
        <f>$H$2-3</f>
        <v>2021</v>
      </c>
      <c r="C60" s="28"/>
      <c r="D60" s="229">
        <f>$H$2-2</f>
        <v>2022</v>
      </c>
      <c r="E60" s="28"/>
      <c r="F60" s="229">
        <f>$H$2-1</f>
        <v>2023</v>
      </c>
      <c r="G60" s="28"/>
      <c r="H60" s="28"/>
      <c r="J60" s="319" t="str">
        <f>CONCATENATE("Current ",H2," Estimated Mill Rate:")</f>
        <v>Current 2024 Estimated Mill Rate:</v>
      </c>
      <c r="K60" s="313"/>
      <c r="L60" s="313"/>
      <c r="M60" s="321" t="e">
        <f>H52</f>
        <v>#REF!</v>
      </c>
    </row>
    <row r="61" spans="1:13" x14ac:dyDescent="0.25">
      <c r="A61" s="29" t="s">
        <v>91</v>
      </c>
      <c r="B61" s="154">
        <f>inputPrYr!$D$105</f>
        <v>1835000</v>
      </c>
      <c r="C61" s="109"/>
      <c r="D61" s="154">
        <f>inputPrYr!$E$105</f>
        <v>1725000</v>
      </c>
      <c r="E61" s="109"/>
      <c r="F61" s="154">
        <f>Debt!$G$20</f>
        <v>1725000</v>
      </c>
      <c r="G61" s="28"/>
      <c r="H61" s="28"/>
      <c r="J61" s="319" t="str">
        <f>CONCATENATE("Desired ",H2," Mill Rate:")</f>
        <v>Desired 2024 Mill Rate:</v>
      </c>
      <c r="K61" s="313"/>
      <c r="L61" s="313"/>
      <c r="M61" s="311">
        <v>9</v>
      </c>
    </row>
    <row r="62" spans="1:13" ht="18.75" customHeight="1" x14ac:dyDescent="0.25">
      <c r="A62" s="29" t="s">
        <v>92</v>
      </c>
      <c r="B62" s="295">
        <f>inputPrYr!$D$106</f>
        <v>0</v>
      </c>
      <c r="C62" s="109"/>
      <c r="D62" s="295">
        <f>inputPrYr!$E$106</f>
        <v>0</v>
      </c>
      <c r="E62" s="109"/>
      <c r="F62" s="154">
        <f>Debt!$G$32</f>
        <v>0</v>
      </c>
      <c r="G62" s="28"/>
      <c r="H62" s="28"/>
      <c r="J62" s="319" t="str">
        <f>CONCATENATE("",H2," Ad Valorem Tax:")</f>
        <v>2024 Ad Valorem Tax:</v>
      </c>
      <c r="K62" s="313"/>
      <c r="L62" s="313"/>
      <c r="M62" s="326">
        <f>ROUND(F58*M61/1000,0)</f>
        <v>187704</v>
      </c>
    </row>
    <row r="63" spans="1:13" ht="18.75" customHeight="1" x14ac:dyDescent="0.25">
      <c r="A63" s="28" t="s">
        <v>110</v>
      </c>
      <c r="B63" s="295">
        <f>inputPrYr!$D$107</f>
        <v>543111</v>
      </c>
      <c r="C63" s="109"/>
      <c r="D63" s="295">
        <f>inputPrYr!$E$107</f>
        <v>367631</v>
      </c>
      <c r="E63" s="109"/>
      <c r="F63" s="154">
        <f>Debt!$G$42</f>
        <v>0</v>
      </c>
      <c r="G63" s="28"/>
      <c r="H63" s="28"/>
      <c r="J63" s="324" t="str">
        <f>CONCATENATE("",H2," Tax Levy Fund Exp. Changed By:")</f>
        <v>2024 Tax Levy Fund Exp. Changed By:</v>
      </c>
      <c r="K63" s="325"/>
      <c r="L63" s="325"/>
      <c r="M63" s="317" t="e">
        <f>IF(M61=0,0,(M62-G52))</f>
        <v>#REF!</v>
      </c>
    </row>
    <row r="64" spans="1:13" ht="18.75" customHeight="1" x14ac:dyDescent="0.2">
      <c r="A64" s="29" t="s">
        <v>144</v>
      </c>
      <c r="B64" s="295">
        <f>inputPrYr!$D$108</f>
        <v>126983</v>
      </c>
      <c r="C64" s="109"/>
      <c r="D64" s="295">
        <f>inputPrYr!$E$108</f>
        <v>53957</v>
      </c>
      <c r="E64" s="109"/>
      <c r="F64" s="154">
        <f>'LP Form'!$G$28</f>
        <v>553957</v>
      </c>
      <c r="G64" s="28"/>
      <c r="H64" s="28"/>
    </row>
    <row r="65" spans="1:13" ht="18.75" customHeight="1" thickBot="1" x14ac:dyDescent="0.25">
      <c r="A65" s="29" t="s">
        <v>93</v>
      </c>
      <c r="B65" s="357">
        <f>SUM(B61:B64)</f>
        <v>2505094</v>
      </c>
      <c r="C65" s="109"/>
      <c r="D65" s="357">
        <f>SUM(D61:D64)</f>
        <v>2146588</v>
      </c>
      <c r="E65" s="109"/>
      <c r="F65" s="357">
        <f>SUM(F61:F64)</f>
        <v>2278957</v>
      </c>
      <c r="G65" s="28"/>
      <c r="H65" s="28"/>
      <c r="J65" s="736" t="s">
        <v>726</v>
      </c>
      <c r="K65" s="737"/>
      <c r="L65" s="737"/>
      <c r="M65" s="727" t="e">
        <f>IF(H52&gt;H53, "Yes", "No")</f>
        <v>#REF!</v>
      </c>
    </row>
    <row r="66" spans="1:13" ht="16.5" thickTop="1" x14ac:dyDescent="0.2">
      <c r="A66" s="29" t="s">
        <v>94</v>
      </c>
      <c r="B66" s="28"/>
      <c r="C66" s="28"/>
      <c r="D66" s="28"/>
      <c r="E66" s="28"/>
      <c r="F66" s="28"/>
      <c r="G66" s="28"/>
      <c r="H66" s="28"/>
      <c r="J66" s="738"/>
      <c r="K66" s="739"/>
      <c r="L66" s="739"/>
      <c r="M66" s="728"/>
    </row>
    <row r="67" spans="1:13" x14ac:dyDescent="0.2">
      <c r="A67" s="544" t="s">
        <v>718</v>
      </c>
      <c r="B67" s="28"/>
      <c r="C67" s="28"/>
      <c r="D67" s="28"/>
      <c r="E67" s="28"/>
      <c r="F67" s="28"/>
      <c r="G67" s="28"/>
      <c r="H67" s="28"/>
      <c r="J67" s="714" t="e">
        <f>IF(M65="Yes", "Follow procedure prescirbed by KSA 79-2988 to exceed the Revenue Neutral Rate.", " ")</f>
        <v>#REF!</v>
      </c>
      <c r="K67" s="714"/>
      <c r="L67" s="714"/>
      <c r="M67" s="714"/>
    </row>
    <row r="68" spans="1:13" x14ac:dyDescent="0.2">
      <c r="A68" s="28"/>
      <c r="B68" s="28"/>
      <c r="C68" s="28"/>
      <c r="D68" s="28"/>
      <c r="E68" s="28"/>
      <c r="F68" s="28"/>
      <c r="G68" s="28"/>
      <c r="H68" s="28"/>
      <c r="J68" s="715"/>
      <c r="K68" s="715"/>
      <c r="L68" s="715"/>
      <c r="M68" s="715"/>
    </row>
    <row r="69" spans="1:13" x14ac:dyDescent="0.2">
      <c r="A69" s="746" t="str">
        <f>inputHearing!B28</f>
        <v>Tammy Jones</v>
      </c>
      <c r="B69" s="746"/>
      <c r="C69" s="28"/>
      <c r="D69" s="28"/>
      <c r="E69" s="28"/>
      <c r="F69" s="28"/>
      <c r="G69" s="28"/>
      <c r="H69" s="28"/>
      <c r="J69" s="715"/>
      <c r="K69" s="715"/>
      <c r="L69" s="715"/>
      <c r="M69" s="715"/>
    </row>
    <row r="70" spans="1:13" x14ac:dyDescent="0.2">
      <c r="A70" s="107" t="s">
        <v>170</v>
      </c>
      <c r="B70" s="369" t="str">
        <f>inputHearing!B30</f>
        <v>City Clerk</v>
      </c>
      <c r="C70" s="28"/>
      <c r="D70" s="28"/>
      <c r="E70" s="28"/>
      <c r="F70" s="28"/>
      <c r="G70" s="28"/>
      <c r="H70" s="28"/>
    </row>
    <row r="71" spans="1:13" x14ac:dyDescent="0.2">
      <c r="A71" s="28"/>
      <c r="B71" s="28"/>
      <c r="C71" s="28"/>
      <c r="D71" s="28"/>
      <c r="E71" s="28"/>
      <c r="F71" s="28"/>
      <c r="G71" s="28"/>
      <c r="H71" s="28"/>
    </row>
    <row r="72" spans="1:13" x14ac:dyDescent="0.2">
      <c r="A72" s="28"/>
      <c r="B72" s="28"/>
      <c r="C72" s="80" t="s">
        <v>70</v>
      </c>
      <c r="D72" s="464"/>
      <c r="E72" s="28"/>
      <c r="F72" s="28"/>
      <c r="G72" s="28"/>
      <c r="H72" s="28"/>
    </row>
  </sheetData>
  <sheetProtection sheet="1" objects="1" scenarios="1"/>
  <mergeCells count="22">
    <mergeCell ref="J65:L66"/>
    <mergeCell ref="M65:M66"/>
    <mergeCell ref="J67:M69"/>
    <mergeCell ref="A69:B69"/>
    <mergeCell ref="H13:H14"/>
    <mergeCell ref="J41:M41"/>
    <mergeCell ref="J45:M45"/>
    <mergeCell ref="J52:M52"/>
    <mergeCell ref="A53:G53"/>
    <mergeCell ref="J58:M58"/>
    <mergeCell ref="B13:B14"/>
    <mergeCell ref="C13:C14"/>
    <mergeCell ref="D13:D14"/>
    <mergeCell ref="E13:E14"/>
    <mergeCell ref="F13:F14"/>
    <mergeCell ref="G13:G14"/>
    <mergeCell ref="A7:H7"/>
    <mergeCell ref="A1:H1"/>
    <mergeCell ref="A3:H3"/>
    <mergeCell ref="A4:H4"/>
    <mergeCell ref="A5:H5"/>
    <mergeCell ref="A6:H6"/>
  </mergeCells>
  <conditionalFormatting sqref="M65:M66">
    <cfRule type="containsText" dxfId="0" priority="1" operator="containsText" text="Yes">
      <formula>NOT(ISERROR(SEARCH("Yes",M65)))</formula>
    </cfRule>
  </conditionalFormatting>
  <pageMargins left="1" right="0.5" top="1" bottom="0.5" header="0.5" footer="0.5"/>
  <pageSetup scale="61" orientation="portrait" blackAndWhite="1" horizontalDpi="120" verticalDpi="14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7"/>
  <sheetViews>
    <sheetView workbookViewId="0">
      <selection activeCell="H1" sqref="H1"/>
    </sheetView>
  </sheetViews>
  <sheetFormatPr defaultRowHeight="15.75" x14ac:dyDescent="0.2"/>
  <cols>
    <col min="1" max="1" width="14.109375" style="24" customWidth="1"/>
    <col min="2" max="2" width="12.77734375" style="24" customWidth="1"/>
    <col min="3" max="3" width="8.77734375" style="24" customWidth="1"/>
    <col min="4" max="4" width="7.33203125" style="24" customWidth="1"/>
    <col min="5" max="5" width="8.5546875" style="24" customWidth="1"/>
    <col min="6" max="6" width="12.77734375" style="24" customWidth="1"/>
    <col min="7" max="7" width="11.88671875" style="24" customWidth="1"/>
    <col min="8" max="8" width="14.109375" style="24" customWidth="1"/>
    <col min="9" max="252" width="8.88671875" style="24"/>
    <col min="253" max="253" width="15.77734375" style="24" customWidth="1"/>
    <col min="254" max="254" width="12.77734375" style="24" customWidth="1"/>
    <col min="255" max="255" width="8.77734375" style="24" customWidth="1"/>
    <col min="256" max="256" width="13.77734375" style="24" customWidth="1"/>
    <col min="257" max="257" width="8.77734375" style="24" customWidth="1"/>
    <col min="258" max="258" width="12.77734375" style="24" customWidth="1"/>
    <col min="259" max="259" width="10.77734375" style="24" customWidth="1"/>
    <col min="260" max="260" width="8.77734375" style="24" customWidth="1"/>
    <col min="261" max="261" width="8.88671875" style="24"/>
    <col min="262" max="262" width="12.44140625" style="24" customWidth="1"/>
    <col min="263" max="263" width="12.33203125" style="24" customWidth="1"/>
    <col min="264" max="264" width="8.88671875" style="24"/>
    <col min="265" max="265" width="12.109375" style="24" customWidth="1"/>
    <col min="266" max="508" width="8.88671875" style="24"/>
    <col min="509" max="509" width="15.77734375" style="24" customWidth="1"/>
    <col min="510" max="510" width="12.77734375" style="24" customWidth="1"/>
    <col min="511" max="511" width="8.77734375" style="24" customWidth="1"/>
    <col min="512" max="512" width="13.77734375" style="24" customWidth="1"/>
    <col min="513" max="513" width="8.77734375" style="24" customWidth="1"/>
    <col min="514" max="514" width="12.77734375" style="24" customWidth="1"/>
    <col min="515" max="515" width="10.77734375" style="24" customWidth="1"/>
    <col min="516" max="516" width="8.77734375" style="24" customWidth="1"/>
    <col min="517" max="517" width="8.88671875" style="24"/>
    <col min="518" max="518" width="12.44140625" style="24" customWidth="1"/>
    <col min="519" max="519" width="12.33203125" style="24" customWidth="1"/>
    <col min="520" max="520" width="8.88671875" style="24"/>
    <col min="521" max="521" width="12.109375" style="24" customWidth="1"/>
    <col min="522" max="764" width="8.88671875" style="24"/>
    <col min="765" max="765" width="15.77734375" style="24" customWidth="1"/>
    <col min="766" max="766" width="12.77734375" style="24" customWidth="1"/>
    <col min="767" max="767" width="8.77734375" style="24" customWidth="1"/>
    <col min="768" max="768" width="13.77734375" style="24" customWidth="1"/>
    <col min="769" max="769" width="8.77734375" style="24" customWidth="1"/>
    <col min="770" max="770" width="12.77734375" style="24" customWidth="1"/>
    <col min="771" max="771" width="10.77734375" style="24" customWidth="1"/>
    <col min="772" max="772" width="8.77734375" style="24" customWidth="1"/>
    <col min="773" max="773" width="8.88671875" style="24"/>
    <col min="774" max="774" width="12.44140625" style="24" customWidth="1"/>
    <col min="775" max="775" width="12.33203125" style="24" customWidth="1"/>
    <col min="776" max="776" width="8.88671875" style="24"/>
    <col min="777" max="777" width="12.109375" style="24" customWidth="1"/>
    <col min="778" max="1020" width="8.88671875" style="24"/>
    <col min="1021" max="1021" width="15.77734375" style="24" customWidth="1"/>
    <col min="1022" max="1022" width="12.77734375" style="24" customWidth="1"/>
    <col min="1023" max="1023" width="8.77734375" style="24" customWidth="1"/>
    <col min="1024" max="1024" width="13.77734375" style="24" customWidth="1"/>
    <col min="1025" max="1025" width="8.77734375" style="24" customWidth="1"/>
    <col min="1026" max="1026" width="12.77734375" style="24" customWidth="1"/>
    <col min="1027" max="1027" width="10.77734375" style="24" customWidth="1"/>
    <col min="1028" max="1028" width="8.77734375" style="24" customWidth="1"/>
    <col min="1029" max="1029" width="8.88671875" style="24"/>
    <col min="1030" max="1030" width="12.44140625" style="24" customWidth="1"/>
    <col min="1031" max="1031" width="12.33203125" style="24" customWidth="1"/>
    <col min="1032" max="1032" width="8.88671875" style="24"/>
    <col min="1033" max="1033" width="12.109375" style="24" customWidth="1"/>
    <col min="1034" max="1276" width="8.88671875" style="24"/>
    <col min="1277" max="1277" width="15.77734375" style="24" customWidth="1"/>
    <col min="1278" max="1278" width="12.77734375" style="24" customWidth="1"/>
    <col min="1279" max="1279" width="8.77734375" style="24" customWidth="1"/>
    <col min="1280" max="1280" width="13.77734375" style="24" customWidth="1"/>
    <col min="1281" max="1281" width="8.77734375" style="24" customWidth="1"/>
    <col min="1282" max="1282" width="12.77734375" style="24" customWidth="1"/>
    <col min="1283" max="1283" width="10.77734375" style="24" customWidth="1"/>
    <col min="1284" max="1284" width="8.77734375" style="24" customWidth="1"/>
    <col min="1285" max="1285" width="8.88671875" style="24"/>
    <col min="1286" max="1286" width="12.44140625" style="24" customWidth="1"/>
    <col min="1287" max="1287" width="12.33203125" style="24" customWidth="1"/>
    <col min="1288" max="1288" width="8.88671875" style="24"/>
    <col min="1289" max="1289" width="12.109375" style="24" customWidth="1"/>
    <col min="1290" max="1532" width="8.88671875" style="24"/>
    <col min="1533" max="1533" width="15.77734375" style="24" customWidth="1"/>
    <col min="1534" max="1534" width="12.77734375" style="24" customWidth="1"/>
    <col min="1535" max="1535" width="8.77734375" style="24" customWidth="1"/>
    <col min="1536" max="1536" width="13.77734375" style="24" customWidth="1"/>
    <col min="1537" max="1537" width="8.77734375" style="24" customWidth="1"/>
    <col min="1538" max="1538" width="12.77734375" style="24" customWidth="1"/>
    <col min="1539" max="1539" width="10.77734375" style="24" customWidth="1"/>
    <col min="1540" max="1540" width="8.77734375" style="24" customWidth="1"/>
    <col min="1541" max="1541" width="8.88671875" style="24"/>
    <col min="1542" max="1542" width="12.44140625" style="24" customWidth="1"/>
    <col min="1543" max="1543" width="12.33203125" style="24" customWidth="1"/>
    <col min="1544" max="1544" width="8.88671875" style="24"/>
    <col min="1545" max="1545" width="12.109375" style="24" customWidth="1"/>
    <col min="1546" max="1788" width="8.88671875" style="24"/>
    <col min="1789" max="1789" width="15.77734375" style="24" customWidth="1"/>
    <col min="1790" max="1790" width="12.77734375" style="24" customWidth="1"/>
    <col min="1791" max="1791" width="8.77734375" style="24" customWidth="1"/>
    <col min="1792" max="1792" width="13.77734375" style="24" customWidth="1"/>
    <col min="1793" max="1793" width="8.77734375" style="24" customWidth="1"/>
    <col min="1794" max="1794" width="12.77734375" style="24" customWidth="1"/>
    <col min="1795" max="1795" width="10.77734375" style="24" customWidth="1"/>
    <col min="1796" max="1796" width="8.77734375" style="24" customWidth="1"/>
    <col min="1797" max="1797" width="8.88671875" style="24"/>
    <col min="1798" max="1798" width="12.44140625" style="24" customWidth="1"/>
    <col min="1799" max="1799" width="12.33203125" style="24" customWidth="1"/>
    <col min="1800" max="1800" width="8.88671875" style="24"/>
    <col min="1801" max="1801" width="12.109375" style="24" customWidth="1"/>
    <col min="1802" max="2044" width="8.88671875" style="24"/>
    <col min="2045" max="2045" width="15.77734375" style="24" customWidth="1"/>
    <col min="2046" max="2046" width="12.77734375" style="24" customWidth="1"/>
    <col min="2047" max="2047" width="8.77734375" style="24" customWidth="1"/>
    <col min="2048" max="2048" width="13.77734375" style="24" customWidth="1"/>
    <col min="2049" max="2049" width="8.77734375" style="24" customWidth="1"/>
    <col min="2050" max="2050" width="12.77734375" style="24" customWidth="1"/>
    <col min="2051" max="2051" width="10.77734375" style="24" customWidth="1"/>
    <col min="2052" max="2052" width="8.77734375" style="24" customWidth="1"/>
    <col min="2053" max="2053" width="8.88671875" style="24"/>
    <col min="2054" max="2054" width="12.44140625" style="24" customWidth="1"/>
    <col min="2055" max="2055" width="12.33203125" style="24" customWidth="1"/>
    <col min="2056" max="2056" width="8.88671875" style="24"/>
    <col min="2057" max="2057" width="12.109375" style="24" customWidth="1"/>
    <col min="2058" max="2300" width="8.88671875" style="24"/>
    <col min="2301" max="2301" width="15.77734375" style="24" customWidth="1"/>
    <col min="2302" max="2302" width="12.77734375" style="24" customWidth="1"/>
    <col min="2303" max="2303" width="8.77734375" style="24" customWidth="1"/>
    <col min="2304" max="2304" width="13.77734375" style="24" customWidth="1"/>
    <col min="2305" max="2305" width="8.77734375" style="24" customWidth="1"/>
    <col min="2306" max="2306" width="12.77734375" style="24" customWidth="1"/>
    <col min="2307" max="2307" width="10.77734375" style="24" customWidth="1"/>
    <col min="2308" max="2308" width="8.77734375" style="24" customWidth="1"/>
    <col min="2309" max="2309" width="8.88671875" style="24"/>
    <col min="2310" max="2310" width="12.44140625" style="24" customWidth="1"/>
    <col min="2311" max="2311" width="12.33203125" style="24" customWidth="1"/>
    <col min="2312" max="2312" width="8.88671875" style="24"/>
    <col min="2313" max="2313" width="12.109375" style="24" customWidth="1"/>
    <col min="2314" max="2556" width="8.88671875" style="24"/>
    <col min="2557" max="2557" width="15.77734375" style="24" customWidth="1"/>
    <col min="2558" max="2558" width="12.77734375" style="24" customWidth="1"/>
    <col min="2559" max="2559" width="8.77734375" style="24" customWidth="1"/>
    <col min="2560" max="2560" width="13.77734375" style="24" customWidth="1"/>
    <col min="2561" max="2561" width="8.77734375" style="24" customWidth="1"/>
    <col min="2562" max="2562" width="12.77734375" style="24" customWidth="1"/>
    <col min="2563" max="2563" width="10.77734375" style="24" customWidth="1"/>
    <col min="2564" max="2564" width="8.77734375" style="24" customWidth="1"/>
    <col min="2565" max="2565" width="8.88671875" style="24"/>
    <col min="2566" max="2566" width="12.44140625" style="24" customWidth="1"/>
    <col min="2567" max="2567" width="12.33203125" style="24" customWidth="1"/>
    <col min="2568" max="2568" width="8.88671875" style="24"/>
    <col min="2569" max="2569" width="12.109375" style="24" customWidth="1"/>
    <col min="2570" max="2812" width="8.88671875" style="24"/>
    <col min="2813" max="2813" width="15.77734375" style="24" customWidth="1"/>
    <col min="2814" max="2814" width="12.77734375" style="24" customWidth="1"/>
    <col min="2815" max="2815" width="8.77734375" style="24" customWidth="1"/>
    <col min="2816" max="2816" width="13.77734375" style="24" customWidth="1"/>
    <col min="2817" max="2817" width="8.77734375" style="24" customWidth="1"/>
    <col min="2818" max="2818" width="12.77734375" style="24" customWidth="1"/>
    <col min="2819" max="2819" width="10.77734375" style="24" customWidth="1"/>
    <col min="2820" max="2820" width="8.77734375" style="24" customWidth="1"/>
    <col min="2821" max="2821" width="8.88671875" style="24"/>
    <col min="2822" max="2822" width="12.44140625" style="24" customWidth="1"/>
    <col min="2823" max="2823" width="12.33203125" style="24" customWidth="1"/>
    <col min="2824" max="2824" width="8.88671875" style="24"/>
    <col min="2825" max="2825" width="12.109375" style="24" customWidth="1"/>
    <col min="2826" max="3068" width="8.88671875" style="24"/>
    <col min="3069" max="3069" width="15.77734375" style="24" customWidth="1"/>
    <col min="3070" max="3070" width="12.77734375" style="24" customWidth="1"/>
    <col min="3071" max="3071" width="8.77734375" style="24" customWidth="1"/>
    <col min="3072" max="3072" width="13.77734375" style="24" customWidth="1"/>
    <col min="3073" max="3073" width="8.77734375" style="24" customWidth="1"/>
    <col min="3074" max="3074" width="12.77734375" style="24" customWidth="1"/>
    <col min="3075" max="3075" width="10.77734375" style="24" customWidth="1"/>
    <col min="3076" max="3076" width="8.77734375" style="24" customWidth="1"/>
    <col min="3077" max="3077" width="8.88671875" style="24"/>
    <col min="3078" max="3078" width="12.44140625" style="24" customWidth="1"/>
    <col min="3079" max="3079" width="12.33203125" style="24" customWidth="1"/>
    <col min="3080" max="3080" width="8.88671875" style="24"/>
    <col min="3081" max="3081" width="12.109375" style="24" customWidth="1"/>
    <col min="3082" max="3324" width="8.88671875" style="24"/>
    <col min="3325" max="3325" width="15.77734375" style="24" customWidth="1"/>
    <col min="3326" max="3326" width="12.77734375" style="24" customWidth="1"/>
    <col min="3327" max="3327" width="8.77734375" style="24" customWidth="1"/>
    <col min="3328" max="3328" width="13.77734375" style="24" customWidth="1"/>
    <col min="3329" max="3329" width="8.77734375" style="24" customWidth="1"/>
    <col min="3330" max="3330" width="12.77734375" style="24" customWidth="1"/>
    <col min="3331" max="3331" width="10.77734375" style="24" customWidth="1"/>
    <col min="3332" max="3332" width="8.77734375" style="24" customWidth="1"/>
    <col min="3333" max="3333" width="8.88671875" style="24"/>
    <col min="3334" max="3334" width="12.44140625" style="24" customWidth="1"/>
    <col min="3335" max="3335" width="12.33203125" style="24" customWidth="1"/>
    <col min="3336" max="3336" width="8.88671875" style="24"/>
    <col min="3337" max="3337" width="12.109375" style="24" customWidth="1"/>
    <col min="3338" max="3580" width="8.88671875" style="24"/>
    <col min="3581" max="3581" width="15.77734375" style="24" customWidth="1"/>
    <col min="3582" max="3582" width="12.77734375" style="24" customWidth="1"/>
    <col min="3583" max="3583" width="8.77734375" style="24" customWidth="1"/>
    <col min="3584" max="3584" width="13.77734375" style="24" customWidth="1"/>
    <col min="3585" max="3585" width="8.77734375" style="24" customWidth="1"/>
    <col min="3586" max="3586" width="12.77734375" style="24" customWidth="1"/>
    <col min="3587" max="3587" width="10.77734375" style="24" customWidth="1"/>
    <col min="3588" max="3588" width="8.77734375" style="24" customWidth="1"/>
    <col min="3589" max="3589" width="8.88671875" style="24"/>
    <col min="3590" max="3590" width="12.44140625" style="24" customWidth="1"/>
    <col min="3591" max="3591" width="12.33203125" style="24" customWidth="1"/>
    <col min="3592" max="3592" width="8.88671875" style="24"/>
    <col min="3593" max="3593" width="12.109375" style="24" customWidth="1"/>
    <col min="3594" max="3836" width="8.88671875" style="24"/>
    <col min="3837" max="3837" width="15.77734375" style="24" customWidth="1"/>
    <col min="3838" max="3838" width="12.77734375" style="24" customWidth="1"/>
    <col min="3839" max="3839" width="8.77734375" style="24" customWidth="1"/>
    <col min="3840" max="3840" width="13.77734375" style="24" customWidth="1"/>
    <col min="3841" max="3841" width="8.77734375" style="24" customWidth="1"/>
    <col min="3842" max="3842" width="12.77734375" style="24" customWidth="1"/>
    <col min="3843" max="3843" width="10.77734375" style="24" customWidth="1"/>
    <col min="3844" max="3844" width="8.77734375" style="24" customWidth="1"/>
    <col min="3845" max="3845" width="8.88671875" style="24"/>
    <col min="3846" max="3846" width="12.44140625" style="24" customWidth="1"/>
    <col min="3847" max="3847" width="12.33203125" style="24" customWidth="1"/>
    <col min="3848" max="3848" width="8.88671875" style="24"/>
    <col min="3849" max="3849" width="12.109375" style="24" customWidth="1"/>
    <col min="3850" max="4092" width="8.88671875" style="24"/>
    <col min="4093" max="4093" width="15.77734375" style="24" customWidth="1"/>
    <col min="4094" max="4094" width="12.77734375" style="24" customWidth="1"/>
    <col min="4095" max="4095" width="8.77734375" style="24" customWidth="1"/>
    <col min="4096" max="4096" width="13.77734375" style="24" customWidth="1"/>
    <col min="4097" max="4097" width="8.77734375" style="24" customWidth="1"/>
    <col min="4098" max="4098" width="12.77734375" style="24" customWidth="1"/>
    <col min="4099" max="4099" width="10.77734375" style="24" customWidth="1"/>
    <col min="4100" max="4100" width="8.77734375" style="24" customWidth="1"/>
    <col min="4101" max="4101" width="8.88671875" style="24"/>
    <col min="4102" max="4102" width="12.44140625" style="24" customWidth="1"/>
    <col min="4103" max="4103" width="12.33203125" style="24" customWidth="1"/>
    <col min="4104" max="4104" width="8.88671875" style="24"/>
    <col min="4105" max="4105" width="12.109375" style="24" customWidth="1"/>
    <col min="4106" max="4348" width="8.88671875" style="24"/>
    <col min="4349" max="4349" width="15.77734375" style="24" customWidth="1"/>
    <col min="4350" max="4350" width="12.77734375" style="24" customWidth="1"/>
    <col min="4351" max="4351" width="8.77734375" style="24" customWidth="1"/>
    <col min="4352" max="4352" width="13.77734375" style="24" customWidth="1"/>
    <col min="4353" max="4353" width="8.77734375" style="24" customWidth="1"/>
    <col min="4354" max="4354" width="12.77734375" style="24" customWidth="1"/>
    <col min="4355" max="4355" width="10.77734375" style="24" customWidth="1"/>
    <col min="4356" max="4356" width="8.77734375" style="24" customWidth="1"/>
    <col min="4357" max="4357" width="8.88671875" style="24"/>
    <col min="4358" max="4358" width="12.44140625" style="24" customWidth="1"/>
    <col min="4359" max="4359" width="12.33203125" style="24" customWidth="1"/>
    <col min="4360" max="4360" width="8.88671875" style="24"/>
    <col min="4361" max="4361" width="12.109375" style="24" customWidth="1"/>
    <col min="4362" max="4604" width="8.88671875" style="24"/>
    <col min="4605" max="4605" width="15.77734375" style="24" customWidth="1"/>
    <col min="4606" max="4606" width="12.77734375" style="24" customWidth="1"/>
    <col min="4607" max="4607" width="8.77734375" style="24" customWidth="1"/>
    <col min="4608" max="4608" width="13.77734375" style="24" customWidth="1"/>
    <col min="4609" max="4609" width="8.77734375" style="24" customWidth="1"/>
    <col min="4610" max="4610" width="12.77734375" style="24" customWidth="1"/>
    <col min="4611" max="4611" width="10.77734375" style="24" customWidth="1"/>
    <col min="4612" max="4612" width="8.77734375" style="24" customWidth="1"/>
    <col min="4613" max="4613" width="8.88671875" style="24"/>
    <col min="4614" max="4614" width="12.44140625" style="24" customWidth="1"/>
    <col min="4615" max="4615" width="12.33203125" style="24" customWidth="1"/>
    <col min="4616" max="4616" width="8.88671875" style="24"/>
    <col min="4617" max="4617" width="12.109375" style="24" customWidth="1"/>
    <col min="4618" max="4860" width="8.88671875" style="24"/>
    <col min="4861" max="4861" width="15.77734375" style="24" customWidth="1"/>
    <col min="4862" max="4862" width="12.77734375" style="24" customWidth="1"/>
    <col min="4863" max="4863" width="8.77734375" style="24" customWidth="1"/>
    <col min="4864" max="4864" width="13.77734375" style="24" customWidth="1"/>
    <col min="4865" max="4865" width="8.77734375" style="24" customWidth="1"/>
    <col min="4866" max="4866" width="12.77734375" style="24" customWidth="1"/>
    <col min="4867" max="4867" width="10.77734375" style="24" customWidth="1"/>
    <col min="4868" max="4868" width="8.77734375" style="24" customWidth="1"/>
    <col min="4869" max="4869" width="8.88671875" style="24"/>
    <col min="4870" max="4870" width="12.44140625" style="24" customWidth="1"/>
    <col min="4871" max="4871" width="12.33203125" style="24" customWidth="1"/>
    <col min="4872" max="4872" width="8.88671875" style="24"/>
    <col min="4873" max="4873" width="12.109375" style="24" customWidth="1"/>
    <col min="4874" max="5116" width="8.88671875" style="24"/>
    <col min="5117" max="5117" width="15.77734375" style="24" customWidth="1"/>
    <col min="5118" max="5118" width="12.77734375" style="24" customWidth="1"/>
    <col min="5119" max="5119" width="8.77734375" style="24" customWidth="1"/>
    <col min="5120" max="5120" width="13.77734375" style="24" customWidth="1"/>
    <col min="5121" max="5121" width="8.77734375" style="24" customWidth="1"/>
    <col min="5122" max="5122" width="12.77734375" style="24" customWidth="1"/>
    <col min="5123" max="5123" width="10.77734375" style="24" customWidth="1"/>
    <col min="5124" max="5124" width="8.77734375" style="24" customWidth="1"/>
    <col min="5125" max="5125" width="8.88671875" style="24"/>
    <col min="5126" max="5126" width="12.44140625" style="24" customWidth="1"/>
    <col min="5127" max="5127" width="12.33203125" style="24" customWidth="1"/>
    <col min="5128" max="5128" width="8.88671875" style="24"/>
    <col min="5129" max="5129" width="12.109375" style="24" customWidth="1"/>
    <col min="5130" max="5372" width="8.88671875" style="24"/>
    <col min="5373" max="5373" width="15.77734375" style="24" customWidth="1"/>
    <col min="5374" max="5374" width="12.77734375" style="24" customWidth="1"/>
    <col min="5375" max="5375" width="8.77734375" style="24" customWidth="1"/>
    <col min="5376" max="5376" width="13.77734375" style="24" customWidth="1"/>
    <col min="5377" max="5377" width="8.77734375" style="24" customWidth="1"/>
    <col min="5378" max="5378" width="12.77734375" style="24" customWidth="1"/>
    <col min="5379" max="5379" width="10.77734375" style="24" customWidth="1"/>
    <col min="5380" max="5380" width="8.77734375" style="24" customWidth="1"/>
    <col min="5381" max="5381" width="8.88671875" style="24"/>
    <col min="5382" max="5382" width="12.44140625" style="24" customWidth="1"/>
    <col min="5383" max="5383" width="12.33203125" style="24" customWidth="1"/>
    <col min="5384" max="5384" width="8.88671875" style="24"/>
    <col min="5385" max="5385" width="12.109375" style="24" customWidth="1"/>
    <col min="5386" max="5628" width="8.88671875" style="24"/>
    <col min="5629" max="5629" width="15.77734375" style="24" customWidth="1"/>
    <col min="5630" max="5630" width="12.77734375" style="24" customWidth="1"/>
    <col min="5631" max="5631" width="8.77734375" style="24" customWidth="1"/>
    <col min="5632" max="5632" width="13.77734375" style="24" customWidth="1"/>
    <col min="5633" max="5633" width="8.77734375" style="24" customWidth="1"/>
    <col min="5634" max="5634" width="12.77734375" style="24" customWidth="1"/>
    <col min="5635" max="5635" width="10.77734375" style="24" customWidth="1"/>
    <col min="5636" max="5636" width="8.77734375" style="24" customWidth="1"/>
    <col min="5637" max="5637" width="8.88671875" style="24"/>
    <col min="5638" max="5638" width="12.44140625" style="24" customWidth="1"/>
    <col min="5639" max="5639" width="12.33203125" style="24" customWidth="1"/>
    <col min="5640" max="5640" width="8.88671875" style="24"/>
    <col min="5641" max="5641" width="12.109375" style="24" customWidth="1"/>
    <col min="5642" max="5884" width="8.88671875" style="24"/>
    <col min="5885" max="5885" width="15.77734375" style="24" customWidth="1"/>
    <col min="5886" max="5886" width="12.77734375" style="24" customWidth="1"/>
    <col min="5887" max="5887" width="8.77734375" style="24" customWidth="1"/>
    <col min="5888" max="5888" width="13.77734375" style="24" customWidth="1"/>
    <col min="5889" max="5889" width="8.77734375" style="24" customWidth="1"/>
    <col min="5890" max="5890" width="12.77734375" style="24" customWidth="1"/>
    <col min="5891" max="5891" width="10.77734375" style="24" customWidth="1"/>
    <col min="5892" max="5892" width="8.77734375" style="24" customWidth="1"/>
    <col min="5893" max="5893" width="8.88671875" style="24"/>
    <col min="5894" max="5894" width="12.44140625" style="24" customWidth="1"/>
    <col min="5895" max="5895" width="12.33203125" style="24" customWidth="1"/>
    <col min="5896" max="5896" width="8.88671875" style="24"/>
    <col min="5897" max="5897" width="12.109375" style="24" customWidth="1"/>
    <col min="5898" max="6140" width="8.88671875" style="24"/>
    <col min="6141" max="6141" width="15.77734375" style="24" customWidth="1"/>
    <col min="6142" max="6142" width="12.77734375" style="24" customWidth="1"/>
    <col min="6143" max="6143" width="8.77734375" style="24" customWidth="1"/>
    <col min="6144" max="6144" width="13.77734375" style="24" customWidth="1"/>
    <col min="6145" max="6145" width="8.77734375" style="24" customWidth="1"/>
    <col min="6146" max="6146" width="12.77734375" style="24" customWidth="1"/>
    <col min="6147" max="6147" width="10.77734375" style="24" customWidth="1"/>
    <col min="6148" max="6148" width="8.77734375" style="24" customWidth="1"/>
    <col min="6149" max="6149" width="8.88671875" style="24"/>
    <col min="6150" max="6150" width="12.44140625" style="24" customWidth="1"/>
    <col min="6151" max="6151" width="12.33203125" style="24" customWidth="1"/>
    <col min="6152" max="6152" width="8.88671875" style="24"/>
    <col min="6153" max="6153" width="12.109375" style="24" customWidth="1"/>
    <col min="6154" max="6396" width="8.88671875" style="24"/>
    <col min="6397" max="6397" width="15.77734375" style="24" customWidth="1"/>
    <col min="6398" max="6398" width="12.77734375" style="24" customWidth="1"/>
    <col min="6399" max="6399" width="8.77734375" style="24" customWidth="1"/>
    <col min="6400" max="6400" width="13.77734375" style="24" customWidth="1"/>
    <col min="6401" max="6401" width="8.77734375" style="24" customWidth="1"/>
    <col min="6402" max="6402" width="12.77734375" style="24" customWidth="1"/>
    <col min="6403" max="6403" width="10.77734375" style="24" customWidth="1"/>
    <col min="6404" max="6404" width="8.77734375" style="24" customWidth="1"/>
    <col min="6405" max="6405" width="8.88671875" style="24"/>
    <col min="6406" max="6406" width="12.44140625" style="24" customWidth="1"/>
    <col min="6407" max="6407" width="12.33203125" style="24" customWidth="1"/>
    <col min="6408" max="6408" width="8.88671875" style="24"/>
    <col min="6409" max="6409" width="12.109375" style="24" customWidth="1"/>
    <col min="6410" max="6652" width="8.88671875" style="24"/>
    <col min="6653" max="6653" width="15.77734375" style="24" customWidth="1"/>
    <col min="6654" max="6654" width="12.77734375" style="24" customWidth="1"/>
    <col min="6655" max="6655" width="8.77734375" style="24" customWidth="1"/>
    <col min="6656" max="6656" width="13.77734375" style="24" customWidth="1"/>
    <col min="6657" max="6657" width="8.77734375" style="24" customWidth="1"/>
    <col min="6658" max="6658" width="12.77734375" style="24" customWidth="1"/>
    <col min="6659" max="6659" width="10.77734375" style="24" customWidth="1"/>
    <col min="6660" max="6660" width="8.77734375" style="24" customWidth="1"/>
    <col min="6661" max="6661" width="8.88671875" style="24"/>
    <col min="6662" max="6662" width="12.44140625" style="24" customWidth="1"/>
    <col min="6663" max="6663" width="12.33203125" style="24" customWidth="1"/>
    <col min="6664" max="6664" width="8.88671875" style="24"/>
    <col min="6665" max="6665" width="12.109375" style="24" customWidth="1"/>
    <col min="6666" max="6908" width="8.88671875" style="24"/>
    <col min="6909" max="6909" width="15.77734375" style="24" customWidth="1"/>
    <col min="6910" max="6910" width="12.77734375" style="24" customWidth="1"/>
    <col min="6911" max="6911" width="8.77734375" style="24" customWidth="1"/>
    <col min="6912" max="6912" width="13.77734375" style="24" customWidth="1"/>
    <col min="6913" max="6913" width="8.77734375" style="24" customWidth="1"/>
    <col min="6914" max="6914" width="12.77734375" style="24" customWidth="1"/>
    <col min="6915" max="6915" width="10.77734375" style="24" customWidth="1"/>
    <col min="6916" max="6916" width="8.77734375" style="24" customWidth="1"/>
    <col min="6917" max="6917" width="8.88671875" style="24"/>
    <col min="6918" max="6918" width="12.44140625" style="24" customWidth="1"/>
    <col min="6919" max="6919" width="12.33203125" style="24" customWidth="1"/>
    <col min="6920" max="6920" width="8.88671875" style="24"/>
    <col min="6921" max="6921" width="12.109375" style="24" customWidth="1"/>
    <col min="6922" max="7164" width="8.88671875" style="24"/>
    <col min="7165" max="7165" width="15.77734375" style="24" customWidth="1"/>
    <col min="7166" max="7166" width="12.77734375" style="24" customWidth="1"/>
    <col min="7167" max="7167" width="8.77734375" style="24" customWidth="1"/>
    <col min="7168" max="7168" width="13.77734375" style="24" customWidth="1"/>
    <col min="7169" max="7169" width="8.77734375" style="24" customWidth="1"/>
    <col min="7170" max="7170" width="12.77734375" style="24" customWidth="1"/>
    <col min="7171" max="7171" width="10.77734375" style="24" customWidth="1"/>
    <col min="7172" max="7172" width="8.77734375" style="24" customWidth="1"/>
    <col min="7173" max="7173" width="8.88671875" style="24"/>
    <col min="7174" max="7174" width="12.44140625" style="24" customWidth="1"/>
    <col min="7175" max="7175" width="12.33203125" style="24" customWidth="1"/>
    <col min="7176" max="7176" width="8.88671875" style="24"/>
    <col min="7177" max="7177" width="12.109375" style="24" customWidth="1"/>
    <col min="7178" max="7420" width="8.88671875" style="24"/>
    <col min="7421" max="7421" width="15.77734375" style="24" customWidth="1"/>
    <col min="7422" max="7422" width="12.77734375" style="24" customWidth="1"/>
    <col min="7423" max="7423" width="8.77734375" style="24" customWidth="1"/>
    <col min="7424" max="7424" width="13.77734375" style="24" customWidth="1"/>
    <col min="7425" max="7425" width="8.77734375" style="24" customWidth="1"/>
    <col min="7426" max="7426" width="12.77734375" style="24" customWidth="1"/>
    <col min="7427" max="7427" width="10.77734375" style="24" customWidth="1"/>
    <col min="7428" max="7428" width="8.77734375" style="24" customWidth="1"/>
    <col min="7429" max="7429" width="8.88671875" style="24"/>
    <col min="7430" max="7430" width="12.44140625" style="24" customWidth="1"/>
    <col min="7431" max="7431" width="12.33203125" style="24" customWidth="1"/>
    <col min="7432" max="7432" width="8.88671875" style="24"/>
    <col min="7433" max="7433" width="12.109375" style="24" customWidth="1"/>
    <col min="7434" max="7676" width="8.88671875" style="24"/>
    <col min="7677" max="7677" width="15.77734375" style="24" customWidth="1"/>
    <col min="7678" max="7678" width="12.77734375" style="24" customWidth="1"/>
    <col min="7679" max="7679" width="8.77734375" style="24" customWidth="1"/>
    <col min="7680" max="7680" width="13.77734375" style="24" customWidth="1"/>
    <col min="7681" max="7681" width="8.77734375" style="24" customWidth="1"/>
    <col min="7682" max="7682" width="12.77734375" style="24" customWidth="1"/>
    <col min="7683" max="7683" width="10.77734375" style="24" customWidth="1"/>
    <col min="7684" max="7684" width="8.77734375" style="24" customWidth="1"/>
    <col min="7685" max="7685" width="8.88671875" style="24"/>
    <col min="7686" max="7686" width="12.44140625" style="24" customWidth="1"/>
    <col min="7687" max="7687" width="12.33203125" style="24" customWidth="1"/>
    <col min="7688" max="7688" width="8.88671875" style="24"/>
    <col min="7689" max="7689" width="12.109375" style="24" customWidth="1"/>
    <col min="7690" max="7932" width="8.88671875" style="24"/>
    <col min="7933" max="7933" width="15.77734375" style="24" customWidth="1"/>
    <col min="7934" max="7934" width="12.77734375" style="24" customWidth="1"/>
    <col min="7935" max="7935" width="8.77734375" style="24" customWidth="1"/>
    <col min="7936" max="7936" width="13.77734375" style="24" customWidth="1"/>
    <col min="7937" max="7937" width="8.77734375" style="24" customWidth="1"/>
    <col min="7938" max="7938" width="12.77734375" style="24" customWidth="1"/>
    <col min="7939" max="7939" width="10.77734375" style="24" customWidth="1"/>
    <col min="7940" max="7940" width="8.77734375" style="24" customWidth="1"/>
    <col min="7941" max="7941" width="8.88671875" style="24"/>
    <col min="7942" max="7942" width="12.44140625" style="24" customWidth="1"/>
    <col min="7943" max="7943" width="12.33203125" style="24" customWidth="1"/>
    <col min="7944" max="7944" width="8.88671875" style="24"/>
    <col min="7945" max="7945" width="12.109375" style="24" customWidth="1"/>
    <col min="7946" max="8188" width="8.88671875" style="24"/>
    <col min="8189" max="8189" width="15.77734375" style="24" customWidth="1"/>
    <col min="8190" max="8190" width="12.77734375" style="24" customWidth="1"/>
    <col min="8191" max="8191" width="8.77734375" style="24" customWidth="1"/>
    <col min="8192" max="8192" width="13.77734375" style="24" customWidth="1"/>
    <col min="8193" max="8193" width="8.77734375" style="24" customWidth="1"/>
    <col min="8194" max="8194" width="12.77734375" style="24" customWidth="1"/>
    <col min="8195" max="8195" width="10.77734375" style="24" customWidth="1"/>
    <col min="8196" max="8196" width="8.77734375" style="24" customWidth="1"/>
    <col min="8197" max="8197" width="8.88671875" style="24"/>
    <col min="8198" max="8198" width="12.44140625" style="24" customWidth="1"/>
    <col min="8199" max="8199" width="12.33203125" style="24" customWidth="1"/>
    <col min="8200" max="8200" width="8.88671875" style="24"/>
    <col min="8201" max="8201" width="12.109375" style="24" customWidth="1"/>
    <col min="8202" max="8444" width="8.88671875" style="24"/>
    <col min="8445" max="8445" width="15.77734375" style="24" customWidth="1"/>
    <col min="8446" max="8446" width="12.77734375" style="24" customWidth="1"/>
    <col min="8447" max="8447" width="8.77734375" style="24" customWidth="1"/>
    <col min="8448" max="8448" width="13.77734375" style="24" customWidth="1"/>
    <col min="8449" max="8449" width="8.77734375" style="24" customWidth="1"/>
    <col min="8450" max="8450" width="12.77734375" style="24" customWidth="1"/>
    <col min="8451" max="8451" width="10.77734375" style="24" customWidth="1"/>
    <col min="8452" max="8452" width="8.77734375" style="24" customWidth="1"/>
    <col min="8453" max="8453" width="8.88671875" style="24"/>
    <col min="8454" max="8454" width="12.44140625" style="24" customWidth="1"/>
    <col min="8455" max="8455" width="12.33203125" style="24" customWidth="1"/>
    <col min="8456" max="8456" width="8.88671875" style="24"/>
    <col min="8457" max="8457" width="12.109375" style="24" customWidth="1"/>
    <col min="8458" max="8700" width="8.88671875" style="24"/>
    <col min="8701" max="8701" width="15.77734375" style="24" customWidth="1"/>
    <col min="8702" max="8702" width="12.77734375" style="24" customWidth="1"/>
    <col min="8703" max="8703" width="8.77734375" style="24" customWidth="1"/>
    <col min="8704" max="8704" width="13.77734375" style="24" customWidth="1"/>
    <col min="8705" max="8705" width="8.77734375" style="24" customWidth="1"/>
    <col min="8706" max="8706" width="12.77734375" style="24" customWidth="1"/>
    <col min="8707" max="8707" width="10.77734375" style="24" customWidth="1"/>
    <col min="8708" max="8708" width="8.77734375" style="24" customWidth="1"/>
    <col min="8709" max="8709" width="8.88671875" style="24"/>
    <col min="8710" max="8710" width="12.44140625" style="24" customWidth="1"/>
    <col min="8711" max="8711" width="12.33203125" style="24" customWidth="1"/>
    <col min="8712" max="8712" width="8.88671875" style="24"/>
    <col min="8713" max="8713" width="12.109375" style="24" customWidth="1"/>
    <col min="8714" max="8956" width="8.88671875" style="24"/>
    <col min="8957" max="8957" width="15.77734375" style="24" customWidth="1"/>
    <col min="8958" max="8958" width="12.77734375" style="24" customWidth="1"/>
    <col min="8959" max="8959" width="8.77734375" style="24" customWidth="1"/>
    <col min="8960" max="8960" width="13.77734375" style="24" customWidth="1"/>
    <col min="8961" max="8961" width="8.77734375" style="24" customWidth="1"/>
    <col min="8962" max="8962" width="12.77734375" style="24" customWidth="1"/>
    <col min="8963" max="8963" width="10.77734375" style="24" customWidth="1"/>
    <col min="8964" max="8964" width="8.77734375" style="24" customWidth="1"/>
    <col min="8965" max="8965" width="8.88671875" style="24"/>
    <col min="8966" max="8966" width="12.44140625" style="24" customWidth="1"/>
    <col min="8967" max="8967" width="12.33203125" style="24" customWidth="1"/>
    <col min="8968" max="8968" width="8.88671875" style="24"/>
    <col min="8969" max="8969" width="12.109375" style="24" customWidth="1"/>
    <col min="8970" max="9212" width="8.88671875" style="24"/>
    <col min="9213" max="9213" width="15.77734375" style="24" customWidth="1"/>
    <col min="9214" max="9214" width="12.77734375" style="24" customWidth="1"/>
    <col min="9215" max="9215" width="8.77734375" style="24" customWidth="1"/>
    <col min="9216" max="9216" width="13.77734375" style="24" customWidth="1"/>
    <col min="9217" max="9217" width="8.77734375" style="24" customWidth="1"/>
    <col min="9218" max="9218" width="12.77734375" style="24" customWidth="1"/>
    <col min="9219" max="9219" width="10.77734375" style="24" customWidth="1"/>
    <col min="9220" max="9220" width="8.77734375" style="24" customWidth="1"/>
    <col min="9221" max="9221" width="8.88671875" style="24"/>
    <col min="9222" max="9222" width="12.44140625" style="24" customWidth="1"/>
    <col min="9223" max="9223" width="12.33203125" style="24" customWidth="1"/>
    <col min="9224" max="9224" width="8.88671875" style="24"/>
    <col min="9225" max="9225" width="12.109375" style="24" customWidth="1"/>
    <col min="9226" max="9468" width="8.88671875" style="24"/>
    <col min="9469" max="9469" width="15.77734375" style="24" customWidth="1"/>
    <col min="9470" max="9470" width="12.77734375" style="24" customWidth="1"/>
    <col min="9471" max="9471" width="8.77734375" style="24" customWidth="1"/>
    <col min="9472" max="9472" width="13.77734375" style="24" customWidth="1"/>
    <col min="9473" max="9473" width="8.77734375" style="24" customWidth="1"/>
    <col min="9474" max="9474" width="12.77734375" style="24" customWidth="1"/>
    <col min="9475" max="9475" width="10.77734375" style="24" customWidth="1"/>
    <col min="9476" max="9476" width="8.77734375" style="24" customWidth="1"/>
    <col min="9477" max="9477" width="8.88671875" style="24"/>
    <col min="9478" max="9478" width="12.44140625" style="24" customWidth="1"/>
    <col min="9479" max="9479" width="12.33203125" style="24" customWidth="1"/>
    <col min="9480" max="9480" width="8.88671875" style="24"/>
    <col min="9481" max="9481" width="12.109375" style="24" customWidth="1"/>
    <col min="9482" max="9724" width="8.88671875" style="24"/>
    <col min="9725" max="9725" width="15.77734375" style="24" customWidth="1"/>
    <col min="9726" max="9726" width="12.77734375" style="24" customWidth="1"/>
    <col min="9727" max="9727" width="8.77734375" style="24" customWidth="1"/>
    <col min="9728" max="9728" width="13.77734375" style="24" customWidth="1"/>
    <col min="9729" max="9729" width="8.77734375" style="24" customWidth="1"/>
    <col min="9730" max="9730" width="12.77734375" style="24" customWidth="1"/>
    <col min="9731" max="9731" width="10.77734375" style="24" customWidth="1"/>
    <col min="9732" max="9732" width="8.77734375" style="24" customWidth="1"/>
    <col min="9733" max="9733" width="8.88671875" style="24"/>
    <col min="9734" max="9734" width="12.44140625" style="24" customWidth="1"/>
    <col min="9735" max="9735" width="12.33203125" style="24" customWidth="1"/>
    <col min="9736" max="9736" width="8.88671875" style="24"/>
    <col min="9737" max="9737" width="12.109375" style="24" customWidth="1"/>
    <col min="9738" max="9980" width="8.88671875" style="24"/>
    <col min="9981" max="9981" width="15.77734375" style="24" customWidth="1"/>
    <col min="9982" max="9982" width="12.77734375" style="24" customWidth="1"/>
    <col min="9983" max="9983" width="8.77734375" style="24" customWidth="1"/>
    <col min="9984" max="9984" width="13.77734375" style="24" customWidth="1"/>
    <col min="9985" max="9985" width="8.77734375" style="24" customWidth="1"/>
    <col min="9986" max="9986" width="12.77734375" style="24" customWidth="1"/>
    <col min="9987" max="9987" width="10.77734375" style="24" customWidth="1"/>
    <col min="9988" max="9988" width="8.77734375" style="24" customWidth="1"/>
    <col min="9989" max="9989" width="8.88671875" style="24"/>
    <col min="9990" max="9990" width="12.44140625" style="24" customWidth="1"/>
    <col min="9991" max="9991" width="12.33203125" style="24" customWidth="1"/>
    <col min="9992" max="9992" width="8.88671875" style="24"/>
    <col min="9993" max="9993" width="12.109375" style="24" customWidth="1"/>
    <col min="9994" max="10236" width="8.88671875" style="24"/>
    <col min="10237" max="10237" width="15.77734375" style="24" customWidth="1"/>
    <col min="10238" max="10238" width="12.77734375" style="24" customWidth="1"/>
    <col min="10239" max="10239" width="8.77734375" style="24" customWidth="1"/>
    <col min="10240" max="10240" width="13.77734375" style="24" customWidth="1"/>
    <col min="10241" max="10241" width="8.77734375" style="24" customWidth="1"/>
    <col min="10242" max="10242" width="12.77734375" style="24" customWidth="1"/>
    <col min="10243" max="10243" width="10.77734375" style="24" customWidth="1"/>
    <col min="10244" max="10244" width="8.77734375" style="24" customWidth="1"/>
    <col min="10245" max="10245" width="8.88671875" style="24"/>
    <col min="10246" max="10246" width="12.44140625" style="24" customWidth="1"/>
    <col min="10247" max="10247" width="12.33203125" style="24" customWidth="1"/>
    <col min="10248" max="10248" width="8.88671875" style="24"/>
    <col min="10249" max="10249" width="12.109375" style="24" customWidth="1"/>
    <col min="10250" max="10492" width="8.88671875" style="24"/>
    <col min="10493" max="10493" width="15.77734375" style="24" customWidth="1"/>
    <col min="10494" max="10494" width="12.77734375" style="24" customWidth="1"/>
    <col min="10495" max="10495" width="8.77734375" style="24" customWidth="1"/>
    <col min="10496" max="10496" width="13.77734375" style="24" customWidth="1"/>
    <col min="10497" max="10497" width="8.77734375" style="24" customWidth="1"/>
    <col min="10498" max="10498" width="12.77734375" style="24" customWidth="1"/>
    <col min="10499" max="10499" width="10.77734375" style="24" customWidth="1"/>
    <col min="10500" max="10500" width="8.77734375" style="24" customWidth="1"/>
    <col min="10501" max="10501" width="8.88671875" style="24"/>
    <col min="10502" max="10502" width="12.44140625" style="24" customWidth="1"/>
    <col min="10503" max="10503" width="12.33203125" style="24" customWidth="1"/>
    <col min="10504" max="10504" width="8.88671875" style="24"/>
    <col min="10505" max="10505" width="12.109375" style="24" customWidth="1"/>
    <col min="10506" max="10748" width="8.88671875" style="24"/>
    <col min="10749" max="10749" width="15.77734375" style="24" customWidth="1"/>
    <col min="10750" max="10750" width="12.77734375" style="24" customWidth="1"/>
    <col min="10751" max="10751" width="8.77734375" style="24" customWidth="1"/>
    <col min="10752" max="10752" width="13.77734375" style="24" customWidth="1"/>
    <col min="10753" max="10753" width="8.77734375" style="24" customWidth="1"/>
    <col min="10754" max="10754" width="12.77734375" style="24" customWidth="1"/>
    <col min="10755" max="10755" width="10.77734375" style="24" customWidth="1"/>
    <col min="10756" max="10756" width="8.77734375" style="24" customWidth="1"/>
    <col min="10757" max="10757" width="8.88671875" style="24"/>
    <col min="10758" max="10758" width="12.44140625" style="24" customWidth="1"/>
    <col min="10759" max="10759" width="12.33203125" style="24" customWidth="1"/>
    <col min="10760" max="10760" width="8.88671875" style="24"/>
    <col min="10761" max="10761" width="12.109375" style="24" customWidth="1"/>
    <col min="10762" max="11004" width="8.88671875" style="24"/>
    <col min="11005" max="11005" width="15.77734375" style="24" customWidth="1"/>
    <col min="11006" max="11006" width="12.77734375" style="24" customWidth="1"/>
    <col min="11007" max="11007" width="8.77734375" style="24" customWidth="1"/>
    <col min="11008" max="11008" width="13.77734375" style="24" customWidth="1"/>
    <col min="11009" max="11009" width="8.77734375" style="24" customWidth="1"/>
    <col min="11010" max="11010" width="12.77734375" style="24" customWidth="1"/>
    <col min="11011" max="11011" width="10.77734375" style="24" customWidth="1"/>
    <col min="11012" max="11012" width="8.77734375" style="24" customWidth="1"/>
    <col min="11013" max="11013" width="8.88671875" style="24"/>
    <col min="11014" max="11014" width="12.44140625" style="24" customWidth="1"/>
    <col min="11015" max="11015" width="12.33203125" style="24" customWidth="1"/>
    <col min="11016" max="11016" width="8.88671875" style="24"/>
    <col min="11017" max="11017" width="12.109375" style="24" customWidth="1"/>
    <col min="11018" max="11260" width="8.88671875" style="24"/>
    <col min="11261" max="11261" width="15.77734375" style="24" customWidth="1"/>
    <col min="11262" max="11262" width="12.77734375" style="24" customWidth="1"/>
    <col min="11263" max="11263" width="8.77734375" style="24" customWidth="1"/>
    <col min="11264" max="11264" width="13.77734375" style="24" customWidth="1"/>
    <col min="11265" max="11265" width="8.77734375" style="24" customWidth="1"/>
    <col min="11266" max="11266" width="12.77734375" style="24" customWidth="1"/>
    <col min="11267" max="11267" width="10.77734375" style="24" customWidth="1"/>
    <col min="11268" max="11268" width="8.77734375" style="24" customWidth="1"/>
    <col min="11269" max="11269" width="8.88671875" style="24"/>
    <col min="11270" max="11270" width="12.44140625" style="24" customWidth="1"/>
    <col min="11271" max="11271" width="12.33203125" style="24" customWidth="1"/>
    <col min="11272" max="11272" width="8.88671875" style="24"/>
    <col min="11273" max="11273" width="12.109375" style="24" customWidth="1"/>
    <col min="11274" max="11516" width="8.88671875" style="24"/>
    <col min="11517" max="11517" width="15.77734375" style="24" customWidth="1"/>
    <col min="11518" max="11518" width="12.77734375" style="24" customWidth="1"/>
    <col min="11519" max="11519" width="8.77734375" style="24" customWidth="1"/>
    <col min="11520" max="11520" width="13.77734375" style="24" customWidth="1"/>
    <col min="11521" max="11521" width="8.77734375" style="24" customWidth="1"/>
    <col min="11522" max="11522" width="12.77734375" style="24" customWidth="1"/>
    <col min="11523" max="11523" width="10.77734375" style="24" customWidth="1"/>
    <col min="11524" max="11524" width="8.77734375" style="24" customWidth="1"/>
    <col min="11525" max="11525" width="8.88671875" style="24"/>
    <col min="11526" max="11526" width="12.44140625" style="24" customWidth="1"/>
    <col min="11527" max="11527" width="12.33203125" style="24" customWidth="1"/>
    <col min="11528" max="11528" width="8.88671875" style="24"/>
    <col min="11529" max="11529" width="12.109375" style="24" customWidth="1"/>
    <col min="11530" max="11772" width="8.88671875" style="24"/>
    <col min="11773" max="11773" width="15.77734375" style="24" customWidth="1"/>
    <col min="11774" max="11774" width="12.77734375" style="24" customWidth="1"/>
    <col min="11775" max="11775" width="8.77734375" style="24" customWidth="1"/>
    <col min="11776" max="11776" width="13.77734375" style="24" customWidth="1"/>
    <col min="11777" max="11777" width="8.77734375" style="24" customWidth="1"/>
    <col min="11778" max="11778" width="12.77734375" style="24" customWidth="1"/>
    <col min="11779" max="11779" width="10.77734375" style="24" customWidth="1"/>
    <col min="11780" max="11780" width="8.77734375" style="24" customWidth="1"/>
    <col min="11781" max="11781" width="8.88671875" style="24"/>
    <col min="11782" max="11782" width="12.44140625" style="24" customWidth="1"/>
    <col min="11783" max="11783" width="12.33203125" style="24" customWidth="1"/>
    <col min="11784" max="11784" width="8.88671875" style="24"/>
    <col min="11785" max="11785" width="12.109375" style="24" customWidth="1"/>
    <col min="11786" max="12028" width="8.88671875" style="24"/>
    <col min="12029" max="12029" width="15.77734375" style="24" customWidth="1"/>
    <col min="12030" max="12030" width="12.77734375" style="24" customWidth="1"/>
    <col min="12031" max="12031" width="8.77734375" style="24" customWidth="1"/>
    <col min="12032" max="12032" width="13.77734375" style="24" customWidth="1"/>
    <col min="12033" max="12033" width="8.77734375" style="24" customWidth="1"/>
    <col min="12034" max="12034" width="12.77734375" style="24" customWidth="1"/>
    <col min="12035" max="12035" width="10.77734375" style="24" customWidth="1"/>
    <col min="12036" max="12036" width="8.77734375" style="24" customWidth="1"/>
    <col min="12037" max="12037" width="8.88671875" style="24"/>
    <col min="12038" max="12038" width="12.44140625" style="24" customWidth="1"/>
    <col min="12039" max="12039" width="12.33203125" style="24" customWidth="1"/>
    <col min="12040" max="12040" width="8.88671875" style="24"/>
    <col min="12041" max="12041" width="12.109375" style="24" customWidth="1"/>
    <col min="12042" max="12284" width="8.88671875" style="24"/>
    <col min="12285" max="12285" width="15.77734375" style="24" customWidth="1"/>
    <col min="12286" max="12286" width="12.77734375" style="24" customWidth="1"/>
    <col min="12287" max="12287" width="8.77734375" style="24" customWidth="1"/>
    <col min="12288" max="12288" width="13.77734375" style="24" customWidth="1"/>
    <col min="12289" max="12289" width="8.77734375" style="24" customWidth="1"/>
    <col min="12290" max="12290" width="12.77734375" style="24" customWidth="1"/>
    <col min="12291" max="12291" width="10.77734375" style="24" customWidth="1"/>
    <col min="12292" max="12292" width="8.77734375" style="24" customWidth="1"/>
    <col min="12293" max="12293" width="8.88671875" style="24"/>
    <col min="12294" max="12294" width="12.44140625" style="24" customWidth="1"/>
    <col min="12295" max="12295" width="12.33203125" style="24" customWidth="1"/>
    <col min="12296" max="12296" width="8.88671875" style="24"/>
    <col min="12297" max="12297" width="12.109375" style="24" customWidth="1"/>
    <col min="12298" max="12540" width="8.88671875" style="24"/>
    <col min="12541" max="12541" width="15.77734375" style="24" customWidth="1"/>
    <col min="12542" max="12542" width="12.77734375" style="24" customWidth="1"/>
    <col min="12543" max="12543" width="8.77734375" style="24" customWidth="1"/>
    <col min="12544" max="12544" width="13.77734375" style="24" customWidth="1"/>
    <col min="12545" max="12545" width="8.77734375" style="24" customWidth="1"/>
    <col min="12546" max="12546" width="12.77734375" style="24" customWidth="1"/>
    <col min="12547" max="12547" width="10.77734375" style="24" customWidth="1"/>
    <col min="12548" max="12548" width="8.77734375" style="24" customWidth="1"/>
    <col min="12549" max="12549" width="8.88671875" style="24"/>
    <col min="12550" max="12550" width="12.44140625" style="24" customWidth="1"/>
    <col min="12551" max="12551" width="12.33203125" style="24" customWidth="1"/>
    <col min="12552" max="12552" width="8.88671875" style="24"/>
    <col min="12553" max="12553" width="12.109375" style="24" customWidth="1"/>
    <col min="12554" max="12796" width="8.88671875" style="24"/>
    <col min="12797" max="12797" width="15.77734375" style="24" customWidth="1"/>
    <col min="12798" max="12798" width="12.77734375" style="24" customWidth="1"/>
    <col min="12799" max="12799" width="8.77734375" style="24" customWidth="1"/>
    <col min="12800" max="12800" width="13.77734375" style="24" customWidth="1"/>
    <col min="12801" max="12801" width="8.77734375" style="24" customWidth="1"/>
    <col min="12802" max="12802" width="12.77734375" style="24" customWidth="1"/>
    <col min="12803" max="12803" width="10.77734375" style="24" customWidth="1"/>
    <col min="12804" max="12804" width="8.77734375" style="24" customWidth="1"/>
    <col min="12805" max="12805" width="8.88671875" style="24"/>
    <col min="12806" max="12806" width="12.44140625" style="24" customWidth="1"/>
    <col min="12807" max="12807" width="12.33203125" style="24" customWidth="1"/>
    <col min="12808" max="12808" width="8.88671875" style="24"/>
    <col min="12809" max="12809" width="12.109375" style="24" customWidth="1"/>
    <col min="12810" max="13052" width="8.88671875" style="24"/>
    <col min="13053" max="13053" width="15.77734375" style="24" customWidth="1"/>
    <col min="13054" max="13054" width="12.77734375" style="24" customWidth="1"/>
    <col min="13055" max="13055" width="8.77734375" style="24" customWidth="1"/>
    <col min="13056" max="13056" width="13.77734375" style="24" customWidth="1"/>
    <col min="13057" max="13057" width="8.77734375" style="24" customWidth="1"/>
    <col min="13058" max="13058" width="12.77734375" style="24" customWidth="1"/>
    <col min="13059" max="13059" width="10.77734375" style="24" customWidth="1"/>
    <col min="13060" max="13060" width="8.77734375" style="24" customWidth="1"/>
    <col min="13061" max="13061" width="8.88671875" style="24"/>
    <col min="13062" max="13062" width="12.44140625" style="24" customWidth="1"/>
    <col min="13063" max="13063" width="12.33203125" style="24" customWidth="1"/>
    <col min="13064" max="13064" width="8.88671875" style="24"/>
    <col min="13065" max="13065" width="12.109375" style="24" customWidth="1"/>
    <col min="13066" max="13308" width="8.88671875" style="24"/>
    <col min="13309" max="13309" width="15.77734375" style="24" customWidth="1"/>
    <col min="13310" max="13310" width="12.77734375" style="24" customWidth="1"/>
    <col min="13311" max="13311" width="8.77734375" style="24" customWidth="1"/>
    <col min="13312" max="13312" width="13.77734375" style="24" customWidth="1"/>
    <col min="13313" max="13313" width="8.77734375" style="24" customWidth="1"/>
    <col min="13314" max="13314" width="12.77734375" style="24" customWidth="1"/>
    <col min="13315" max="13315" width="10.77734375" style="24" customWidth="1"/>
    <col min="13316" max="13316" width="8.77734375" style="24" customWidth="1"/>
    <col min="13317" max="13317" width="8.88671875" style="24"/>
    <col min="13318" max="13318" width="12.44140625" style="24" customWidth="1"/>
    <col min="13319" max="13319" width="12.33203125" style="24" customWidth="1"/>
    <col min="13320" max="13320" width="8.88671875" style="24"/>
    <col min="13321" max="13321" width="12.109375" style="24" customWidth="1"/>
    <col min="13322" max="13564" width="8.88671875" style="24"/>
    <col min="13565" max="13565" width="15.77734375" style="24" customWidth="1"/>
    <col min="13566" max="13566" width="12.77734375" style="24" customWidth="1"/>
    <col min="13567" max="13567" width="8.77734375" style="24" customWidth="1"/>
    <col min="13568" max="13568" width="13.77734375" style="24" customWidth="1"/>
    <col min="13569" max="13569" width="8.77734375" style="24" customWidth="1"/>
    <col min="13570" max="13570" width="12.77734375" style="24" customWidth="1"/>
    <col min="13571" max="13571" width="10.77734375" style="24" customWidth="1"/>
    <col min="13572" max="13572" width="8.77734375" style="24" customWidth="1"/>
    <col min="13573" max="13573" width="8.88671875" style="24"/>
    <col min="13574" max="13574" width="12.44140625" style="24" customWidth="1"/>
    <col min="13575" max="13575" width="12.33203125" style="24" customWidth="1"/>
    <col min="13576" max="13576" width="8.88671875" style="24"/>
    <col min="13577" max="13577" width="12.109375" style="24" customWidth="1"/>
    <col min="13578" max="13820" width="8.88671875" style="24"/>
    <col min="13821" max="13821" width="15.77734375" style="24" customWidth="1"/>
    <col min="13822" max="13822" width="12.77734375" style="24" customWidth="1"/>
    <col min="13823" max="13823" width="8.77734375" style="24" customWidth="1"/>
    <col min="13824" max="13824" width="13.77734375" style="24" customWidth="1"/>
    <col min="13825" max="13825" width="8.77734375" style="24" customWidth="1"/>
    <col min="13826" max="13826" width="12.77734375" style="24" customWidth="1"/>
    <col min="13827" max="13827" width="10.77734375" style="24" customWidth="1"/>
    <col min="13828" max="13828" width="8.77734375" style="24" customWidth="1"/>
    <col min="13829" max="13829" width="8.88671875" style="24"/>
    <col min="13830" max="13830" width="12.44140625" style="24" customWidth="1"/>
    <col min="13831" max="13831" width="12.33203125" style="24" customWidth="1"/>
    <col min="13832" max="13832" width="8.88671875" style="24"/>
    <col min="13833" max="13833" width="12.109375" style="24" customWidth="1"/>
    <col min="13834" max="14076" width="8.88671875" style="24"/>
    <col min="14077" max="14077" width="15.77734375" style="24" customWidth="1"/>
    <col min="14078" max="14078" width="12.77734375" style="24" customWidth="1"/>
    <col min="14079" max="14079" width="8.77734375" style="24" customWidth="1"/>
    <col min="14080" max="14080" width="13.77734375" style="24" customWidth="1"/>
    <col min="14081" max="14081" width="8.77734375" style="24" customWidth="1"/>
    <col min="14082" max="14082" width="12.77734375" style="24" customWidth="1"/>
    <col min="14083" max="14083" width="10.77734375" style="24" customWidth="1"/>
    <col min="14084" max="14084" width="8.77734375" style="24" customWidth="1"/>
    <col min="14085" max="14085" width="8.88671875" style="24"/>
    <col min="14086" max="14086" width="12.44140625" style="24" customWidth="1"/>
    <col min="14087" max="14087" width="12.33203125" style="24" customWidth="1"/>
    <col min="14088" max="14088" width="8.88671875" style="24"/>
    <col min="14089" max="14089" width="12.109375" style="24" customWidth="1"/>
    <col min="14090" max="14332" width="8.88671875" style="24"/>
    <col min="14333" max="14333" width="15.77734375" style="24" customWidth="1"/>
    <col min="14334" max="14334" width="12.77734375" style="24" customWidth="1"/>
    <col min="14335" max="14335" width="8.77734375" style="24" customWidth="1"/>
    <col min="14336" max="14336" width="13.77734375" style="24" customWidth="1"/>
    <col min="14337" max="14337" width="8.77734375" style="24" customWidth="1"/>
    <col min="14338" max="14338" width="12.77734375" style="24" customWidth="1"/>
    <col min="14339" max="14339" width="10.77734375" style="24" customWidth="1"/>
    <col min="14340" max="14340" width="8.77734375" style="24" customWidth="1"/>
    <col min="14341" max="14341" width="8.88671875" style="24"/>
    <col min="14342" max="14342" width="12.44140625" style="24" customWidth="1"/>
    <col min="14343" max="14343" width="12.33203125" style="24" customWidth="1"/>
    <col min="14344" max="14344" width="8.88671875" style="24"/>
    <col min="14345" max="14345" width="12.109375" style="24" customWidth="1"/>
    <col min="14346" max="14588" width="8.88671875" style="24"/>
    <col min="14589" max="14589" width="15.77734375" style="24" customWidth="1"/>
    <col min="14590" max="14590" width="12.77734375" style="24" customWidth="1"/>
    <col min="14591" max="14591" width="8.77734375" style="24" customWidth="1"/>
    <col min="14592" max="14592" width="13.77734375" style="24" customWidth="1"/>
    <col min="14593" max="14593" width="8.77734375" style="24" customWidth="1"/>
    <col min="14594" max="14594" width="12.77734375" style="24" customWidth="1"/>
    <col min="14595" max="14595" width="10.77734375" style="24" customWidth="1"/>
    <col min="14596" max="14596" width="8.77734375" style="24" customWidth="1"/>
    <col min="14597" max="14597" width="8.88671875" style="24"/>
    <col min="14598" max="14598" width="12.44140625" style="24" customWidth="1"/>
    <col min="14599" max="14599" width="12.33203125" style="24" customWidth="1"/>
    <col min="14600" max="14600" width="8.88671875" style="24"/>
    <col min="14601" max="14601" width="12.109375" style="24" customWidth="1"/>
    <col min="14602" max="14844" width="8.88671875" style="24"/>
    <col min="14845" max="14845" width="15.77734375" style="24" customWidth="1"/>
    <col min="14846" max="14846" width="12.77734375" style="24" customWidth="1"/>
    <col min="14847" max="14847" width="8.77734375" style="24" customWidth="1"/>
    <col min="14848" max="14848" width="13.77734375" style="24" customWidth="1"/>
    <col min="14849" max="14849" width="8.77734375" style="24" customWidth="1"/>
    <col min="14850" max="14850" width="12.77734375" style="24" customWidth="1"/>
    <col min="14851" max="14851" width="10.77734375" style="24" customWidth="1"/>
    <col min="14852" max="14852" width="8.77734375" style="24" customWidth="1"/>
    <col min="14853" max="14853" width="8.88671875" style="24"/>
    <col min="14854" max="14854" width="12.44140625" style="24" customWidth="1"/>
    <col min="14855" max="14855" width="12.33203125" style="24" customWidth="1"/>
    <col min="14856" max="14856" width="8.88671875" style="24"/>
    <col min="14857" max="14857" width="12.109375" style="24" customWidth="1"/>
    <col min="14858" max="15100" width="8.88671875" style="24"/>
    <col min="15101" max="15101" width="15.77734375" style="24" customWidth="1"/>
    <col min="15102" max="15102" width="12.77734375" style="24" customWidth="1"/>
    <col min="15103" max="15103" width="8.77734375" style="24" customWidth="1"/>
    <col min="15104" max="15104" width="13.77734375" style="24" customWidth="1"/>
    <col min="15105" max="15105" width="8.77734375" style="24" customWidth="1"/>
    <col min="15106" max="15106" width="12.77734375" style="24" customWidth="1"/>
    <col min="15107" max="15107" width="10.77734375" style="24" customWidth="1"/>
    <col min="15108" max="15108" width="8.77734375" style="24" customWidth="1"/>
    <col min="15109" max="15109" width="8.88671875" style="24"/>
    <col min="15110" max="15110" width="12.44140625" style="24" customWidth="1"/>
    <col min="15111" max="15111" width="12.33203125" style="24" customWidth="1"/>
    <col min="15112" max="15112" width="8.88671875" style="24"/>
    <col min="15113" max="15113" width="12.109375" style="24" customWidth="1"/>
    <col min="15114" max="15356" width="8.88671875" style="24"/>
    <col min="15357" max="15357" width="15.77734375" style="24" customWidth="1"/>
    <col min="15358" max="15358" width="12.77734375" style="24" customWidth="1"/>
    <col min="15359" max="15359" width="8.77734375" style="24" customWidth="1"/>
    <col min="15360" max="15360" width="13.77734375" style="24" customWidth="1"/>
    <col min="15361" max="15361" width="8.77734375" style="24" customWidth="1"/>
    <col min="15362" max="15362" width="12.77734375" style="24" customWidth="1"/>
    <col min="15363" max="15363" width="10.77734375" style="24" customWidth="1"/>
    <col min="15364" max="15364" width="8.77734375" style="24" customWidth="1"/>
    <col min="15365" max="15365" width="8.88671875" style="24"/>
    <col min="15366" max="15366" width="12.44140625" style="24" customWidth="1"/>
    <col min="15367" max="15367" width="12.33203125" style="24" customWidth="1"/>
    <col min="15368" max="15368" width="8.88671875" style="24"/>
    <col min="15369" max="15369" width="12.109375" style="24" customWidth="1"/>
    <col min="15370" max="15612" width="8.88671875" style="24"/>
    <col min="15613" max="15613" width="15.77734375" style="24" customWidth="1"/>
    <col min="15614" max="15614" width="12.77734375" style="24" customWidth="1"/>
    <col min="15615" max="15615" width="8.77734375" style="24" customWidth="1"/>
    <col min="15616" max="15616" width="13.77734375" style="24" customWidth="1"/>
    <col min="15617" max="15617" width="8.77734375" style="24" customWidth="1"/>
    <col min="15618" max="15618" width="12.77734375" style="24" customWidth="1"/>
    <col min="15619" max="15619" width="10.77734375" style="24" customWidth="1"/>
    <col min="15620" max="15620" width="8.77734375" style="24" customWidth="1"/>
    <col min="15621" max="15621" width="8.88671875" style="24"/>
    <col min="15622" max="15622" width="12.44140625" style="24" customWidth="1"/>
    <col min="15623" max="15623" width="12.33203125" style="24" customWidth="1"/>
    <col min="15624" max="15624" width="8.88671875" style="24"/>
    <col min="15625" max="15625" width="12.109375" style="24" customWidth="1"/>
    <col min="15626" max="15868" width="8.88671875" style="24"/>
    <col min="15869" max="15869" width="15.77734375" style="24" customWidth="1"/>
    <col min="15870" max="15870" width="12.77734375" style="24" customWidth="1"/>
    <col min="15871" max="15871" width="8.77734375" style="24" customWidth="1"/>
    <col min="15872" max="15872" width="13.77734375" style="24" customWidth="1"/>
    <col min="15873" max="15873" width="8.77734375" style="24" customWidth="1"/>
    <col min="15874" max="15874" width="12.77734375" style="24" customWidth="1"/>
    <col min="15875" max="15875" width="10.77734375" style="24" customWidth="1"/>
    <col min="15876" max="15876" width="8.77734375" style="24" customWidth="1"/>
    <col min="15877" max="15877" width="8.88671875" style="24"/>
    <col min="15878" max="15878" width="12.44140625" style="24" customWidth="1"/>
    <col min="15879" max="15879" width="12.33203125" style="24" customWidth="1"/>
    <col min="15880" max="15880" width="8.88671875" style="24"/>
    <col min="15881" max="15881" width="12.109375" style="24" customWidth="1"/>
    <col min="15882" max="16124" width="8.88671875" style="24"/>
    <col min="16125" max="16125" width="15.77734375" style="24" customWidth="1"/>
    <col min="16126" max="16126" width="12.77734375" style="24" customWidth="1"/>
    <col min="16127" max="16127" width="8.77734375" style="24" customWidth="1"/>
    <col min="16128" max="16128" width="13.77734375" style="24" customWidth="1"/>
    <col min="16129" max="16129" width="8.77734375" style="24" customWidth="1"/>
    <col min="16130" max="16130" width="12.77734375" style="24" customWidth="1"/>
    <col min="16131" max="16131" width="10.77734375" style="24" customWidth="1"/>
    <col min="16132" max="16132" width="8.77734375" style="24" customWidth="1"/>
    <col min="16133" max="16133" width="8.88671875" style="24"/>
    <col min="16134" max="16134" width="12.44140625" style="24" customWidth="1"/>
    <col min="16135" max="16135" width="12.33203125" style="24" customWidth="1"/>
    <col min="16136" max="16136" width="8.88671875" style="24"/>
    <col min="16137" max="16137" width="12.109375" style="24" customWidth="1"/>
    <col min="16138" max="16384" width="8.88671875" style="24"/>
  </cols>
  <sheetData>
    <row r="1" spans="1:8" x14ac:dyDescent="0.2">
      <c r="A1" s="28"/>
      <c r="B1" s="28"/>
      <c r="C1" s="28"/>
      <c r="D1" s="28"/>
      <c r="E1" s="28"/>
      <c r="F1" s="28"/>
      <c r="G1" s="28"/>
      <c r="H1" s="57">
        <f>'Combined Rate-Bud Hearing Notic'!H2</f>
        <v>2024</v>
      </c>
    </row>
    <row r="2" spans="1:8" x14ac:dyDescent="0.2">
      <c r="A2" s="754" t="s">
        <v>727</v>
      </c>
      <c r="B2" s="666"/>
      <c r="C2" s="666"/>
      <c r="D2" s="666"/>
      <c r="E2" s="666"/>
      <c r="F2" s="666"/>
      <c r="G2" s="666"/>
      <c r="H2" s="666"/>
    </row>
    <row r="3" spans="1:8" x14ac:dyDescent="0.2">
      <c r="A3" s="28"/>
      <c r="B3" s="28"/>
      <c r="C3" s="28"/>
      <c r="D3" s="28"/>
      <c r="E3" s="28"/>
      <c r="F3" s="28"/>
      <c r="G3" s="28"/>
      <c r="H3" s="28"/>
    </row>
    <row r="4" spans="1:8" x14ac:dyDescent="0.2">
      <c r="A4" s="665" t="s">
        <v>80</v>
      </c>
      <c r="B4" s="665"/>
      <c r="C4" s="665"/>
      <c r="D4" s="665"/>
      <c r="E4" s="665"/>
      <c r="F4" s="665"/>
      <c r="G4" s="665"/>
      <c r="H4" s="665"/>
    </row>
    <row r="5" spans="1:8" x14ac:dyDescent="0.2">
      <c r="A5" s="635" t="str">
        <f>inputPrYr!D3</f>
        <v>Wellsville</v>
      </c>
      <c r="B5" s="753"/>
      <c r="C5" s="753"/>
      <c r="D5" s="753"/>
      <c r="E5" s="753"/>
      <c r="F5" s="753"/>
      <c r="G5" s="753"/>
      <c r="H5" s="753"/>
    </row>
    <row r="6" spans="1:8" x14ac:dyDescent="0.2">
      <c r="A6" s="665" t="str">
        <f>CONCATENATE("will meet on ",inputHearing!B42," at ",inputHearing!B44," at ",inputHearing!B46," for the purpose of hearing and")</f>
        <v>will meet on  at  at  for the purpose of hearing and</v>
      </c>
      <c r="B6" s="665"/>
      <c r="C6" s="665"/>
      <c r="D6" s="665"/>
      <c r="E6" s="665"/>
      <c r="F6" s="665"/>
      <c r="G6" s="665"/>
      <c r="H6" s="665"/>
    </row>
    <row r="7" spans="1:8" ht="14.25" customHeight="1" x14ac:dyDescent="0.2">
      <c r="A7" s="665" t="s">
        <v>728</v>
      </c>
      <c r="B7" s="665"/>
      <c r="C7" s="665"/>
      <c r="D7" s="665"/>
      <c r="E7" s="665"/>
      <c r="F7" s="665"/>
      <c r="G7" s="665"/>
      <c r="H7" s="665"/>
    </row>
    <row r="8" spans="1:8" ht="11.25" customHeight="1" x14ac:dyDescent="0.2">
      <c r="A8" s="28"/>
      <c r="B8" s="28"/>
      <c r="C8" s="28"/>
      <c r="D8" s="28"/>
      <c r="E8" s="28"/>
      <c r="F8" s="28"/>
      <c r="G8" s="28"/>
      <c r="H8" s="28"/>
    </row>
    <row r="9" spans="1:8" ht="15" customHeight="1" x14ac:dyDescent="0.2">
      <c r="A9" s="753" t="s">
        <v>729</v>
      </c>
      <c r="B9" s="753"/>
      <c r="C9" s="753"/>
      <c r="D9" s="753"/>
      <c r="E9" s="753"/>
      <c r="F9" s="753"/>
      <c r="G9" s="753"/>
      <c r="H9" s="753"/>
    </row>
    <row r="10" spans="1:8" ht="12" customHeight="1" x14ac:dyDescent="0.2">
      <c r="A10" s="664" t="str">
        <f>inputPrYr!D4</f>
        <v>Franklin</v>
      </c>
      <c r="B10" s="665"/>
      <c r="C10" s="665"/>
      <c r="D10" s="665"/>
      <c r="E10" s="665"/>
      <c r="F10" s="665"/>
      <c r="G10" s="665"/>
      <c r="H10" s="665"/>
    </row>
    <row r="11" spans="1:8" x14ac:dyDescent="0.2">
      <c r="A11" s="81"/>
      <c r="B11" s="33"/>
      <c r="C11" s="33"/>
      <c r="D11" s="33"/>
      <c r="E11" s="33"/>
      <c r="F11" s="33"/>
      <c r="G11" s="33"/>
      <c r="H11" s="33"/>
    </row>
    <row r="12" spans="1:8" x14ac:dyDescent="0.2">
      <c r="A12" s="81"/>
      <c r="B12" s="755" t="s">
        <v>730</v>
      </c>
      <c r="C12" s="755"/>
      <c r="D12" s="586">
        <f>'Summary Budget Hearing Notice'!H53</f>
        <v>50.973999999999997</v>
      </c>
      <c r="E12" s="755" t="s">
        <v>731</v>
      </c>
      <c r="F12" s="755"/>
      <c r="G12" s="587" t="e">
        <f>'Summary Budget Hearing Notice'!H52</f>
        <v>#REF!</v>
      </c>
      <c r="H12" s="33"/>
    </row>
    <row r="13" spans="1:8" x14ac:dyDescent="0.2">
      <c r="A13" s="28"/>
      <c r="B13" s="162"/>
      <c r="C13" s="162"/>
      <c r="D13" s="162"/>
      <c r="E13" s="162"/>
      <c r="F13" s="162"/>
      <c r="G13" s="162"/>
      <c r="H13" s="162"/>
    </row>
    <row r="14" spans="1:8" x14ac:dyDescent="0.2">
      <c r="A14" s="28"/>
      <c r="B14" s="756" t="s">
        <v>732</v>
      </c>
      <c r="C14" s="756"/>
      <c r="D14" s="756"/>
      <c r="E14" s="756"/>
      <c r="F14" s="756"/>
      <c r="G14" s="28"/>
      <c r="H14" s="57"/>
    </row>
    <row r="15" spans="1:8" x14ac:dyDescent="0.2">
      <c r="A15" s="28"/>
      <c r="B15" s="756" t="s">
        <v>733</v>
      </c>
      <c r="C15" s="756"/>
      <c r="D15" s="756"/>
      <c r="E15" s="756"/>
      <c r="F15" s="756"/>
      <c r="G15" s="28"/>
      <c r="H15" s="57"/>
    </row>
    <row r="16" spans="1:8" x14ac:dyDescent="0.2">
      <c r="A16" s="28"/>
      <c r="B16" s="588"/>
      <c r="C16" s="588"/>
      <c r="D16" s="588"/>
      <c r="E16" s="588"/>
      <c r="F16" s="588"/>
      <c r="G16" s="28"/>
      <c r="H16" s="57"/>
    </row>
    <row r="17" spans="1:8" x14ac:dyDescent="0.2">
      <c r="A17" s="28"/>
      <c r="B17" s="588"/>
      <c r="C17" s="588"/>
      <c r="D17" s="80" t="s">
        <v>70</v>
      </c>
      <c r="E17" s="464"/>
      <c r="F17" s="588"/>
      <c r="G17" s="28"/>
      <c r="H17" s="57"/>
    </row>
    <row r="19" spans="1:8" x14ac:dyDescent="0.2">
      <c r="A19" s="26"/>
      <c r="B19" s="26"/>
      <c r="C19" s="26"/>
      <c r="D19" s="26"/>
      <c r="E19" s="26"/>
      <c r="F19" s="26"/>
      <c r="G19" s="26"/>
      <c r="H19" s="26"/>
    </row>
    <row r="21" spans="1:8" x14ac:dyDescent="0.2">
      <c r="A21" s="26"/>
      <c r="B21" s="26"/>
      <c r="C21" s="26"/>
      <c r="D21" s="26"/>
      <c r="E21" s="26"/>
      <c r="F21" s="26"/>
      <c r="G21" s="26"/>
      <c r="H21" s="26"/>
    </row>
    <row r="22" spans="1:8" x14ac:dyDescent="0.2">
      <c r="A22" s="26"/>
      <c r="B22" s="26"/>
      <c r="C22" s="26"/>
      <c r="D22" s="26"/>
      <c r="E22" s="26"/>
      <c r="F22" s="26"/>
      <c r="G22" s="26"/>
      <c r="H22" s="26"/>
    </row>
    <row r="23" spans="1:8" x14ac:dyDescent="0.2">
      <c r="A23" s="26"/>
      <c r="B23" s="26"/>
      <c r="C23" s="26"/>
      <c r="D23" s="26"/>
      <c r="E23" s="26"/>
      <c r="F23" s="26"/>
      <c r="G23" s="26"/>
      <c r="H23" s="26"/>
    </row>
    <row r="24" spans="1:8" x14ac:dyDescent="0.2">
      <c r="A24" s="26"/>
      <c r="B24" s="26"/>
      <c r="C24" s="26"/>
      <c r="D24" s="26"/>
      <c r="E24" s="26"/>
      <c r="F24" s="26"/>
      <c r="G24" s="26"/>
      <c r="H24" s="26"/>
    </row>
    <row r="25" spans="1:8" x14ac:dyDescent="0.2">
      <c r="A25" s="26"/>
      <c r="B25" s="26"/>
      <c r="C25" s="26"/>
      <c r="D25" s="26"/>
      <c r="E25" s="26"/>
      <c r="F25" s="26"/>
      <c r="G25" s="26"/>
      <c r="H25" s="26"/>
    </row>
    <row r="26" spans="1:8" x14ac:dyDescent="0.2">
      <c r="A26" s="26"/>
      <c r="B26" s="26"/>
      <c r="C26" s="26"/>
      <c r="D26" s="26"/>
      <c r="E26" s="26"/>
      <c r="F26" s="26"/>
      <c r="G26" s="26"/>
      <c r="H26" s="26"/>
    </row>
    <row r="27" spans="1:8" x14ac:dyDescent="0.2">
      <c r="A27" s="26"/>
      <c r="B27" s="26"/>
      <c r="C27" s="26"/>
      <c r="D27" s="26"/>
      <c r="E27" s="26"/>
      <c r="F27" s="26"/>
      <c r="G27" s="26"/>
      <c r="H27" s="26"/>
    </row>
    <row r="28" spans="1:8" x14ac:dyDescent="0.2">
      <c r="A28" s="26"/>
      <c r="B28" s="26"/>
      <c r="C28" s="26"/>
      <c r="D28" s="26"/>
      <c r="E28" s="26"/>
      <c r="F28" s="26"/>
      <c r="G28" s="26"/>
      <c r="H28" s="26"/>
    </row>
    <row r="29" spans="1:8" x14ac:dyDescent="0.2">
      <c r="A29" s="26"/>
      <c r="B29" s="26"/>
      <c r="C29" s="26"/>
      <c r="D29" s="26"/>
      <c r="E29" s="26"/>
      <c r="F29" s="26"/>
      <c r="G29" s="26"/>
      <c r="H29" s="26"/>
    </row>
    <row r="37" ht="15" customHeight="1" x14ac:dyDescent="0.2"/>
  </sheetData>
  <sheetProtection sheet="1" objects="1" scenarios="1"/>
  <mergeCells count="11">
    <mergeCell ref="A10:H10"/>
    <mergeCell ref="B12:C12"/>
    <mergeCell ref="E12:F12"/>
    <mergeCell ref="B14:F14"/>
    <mergeCell ref="B15:F15"/>
    <mergeCell ref="A9:H9"/>
    <mergeCell ref="A2:H2"/>
    <mergeCell ref="A4:H4"/>
    <mergeCell ref="A5:H5"/>
    <mergeCell ref="A6:H6"/>
    <mergeCell ref="A7:H7"/>
  </mergeCells>
  <pageMargins left="1" right="1" top="0.5" bottom="0.5" header="0.5" footer="0.5"/>
  <pageSetup scale="76"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G1" sqref="G1"/>
    </sheetView>
  </sheetViews>
  <sheetFormatPr defaultColWidth="8.88671875" defaultRowHeight="15" x14ac:dyDescent="0.2"/>
  <cols>
    <col min="1" max="1" width="10.109375" style="64" customWidth="1"/>
    <col min="2" max="2" width="16.33203125" style="64" customWidth="1"/>
    <col min="3" max="3" width="11.77734375" style="64" customWidth="1"/>
    <col min="4" max="4" width="12.77734375" style="64" customWidth="1"/>
    <col min="5" max="5" width="11.77734375" style="64" customWidth="1"/>
    <col min="6" max="16384" width="8.88671875" style="64"/>
  </cols>
  <sheetData>
    <row r="1" spans="1:6" ht="15.75" x14ac:dyDescent="0.2">
      <c r="A1" s="47" t="str">
        <f>inputPrYr!D3</f>
        <v>Wellsville</v>
      </c>
      <c r="B1" s="28"/>
      <c r="C1" s="28"/>
      <c r="D1" s="28"/>
      <c r="E1" s="28"/>
      <c r="F1" s="28">
        <f>inputPrYr!C6</f>
        <v>2024</v>
      </c>
    </row>
    <row r="2" spans="1:6" ht="15.75" x14ac:dyDescent="0.2">
      <c r="A2" s="28"/>
      <c r="B2" s="28"/>
      <c r="C2" s="28"/>
      <c r="D2" s="28"/>
      <c r="E2" s="28"/>
      <c r="F2" s="28"/>
    </row>
    <row r="3" spans="1:6" ht="15.75" x14ac:dyDescent="0.2">
      <c r="A3" s="28"/>
      <c r="B3" s="757" t="str">
        <f>CONCATENATE("",F1," Neighborhood Revitalization Rebate")</f>
        <v>2024 Neighborhood Revitalization Rebate</v>
      </c>
      <c r="C3" s="757"/>
      <c r="D3" s="757"/>
      <c r="E3" s="757"/>
      <c r="F3" s="28"/>
    </row>
    <row r="4" spans="1:6" ht="15.75" x14ac:dyDescent="0.2">
      <c r="A4" s="28"/>
      <c r="B4" s="28"/>
      <c r="C4" s="28"/>
      <c r="D4" s="28"/>
      <c r="E4" s="28"/>
      <c r="F4" s="28"/>
    </row>
    <row r="5" spans="1:6" ht="51.75" customHeight="1" x14ac:dyDescent="0.2">
      <c r="A5" s="28"/>
      <c r="B5" s="231" t="str">
        <f>CONCATENATE("Budgeted Funds         for ",F1,"")</f>
        <v>Budgeted Funds         for 2024</v>
      </c>
      <c r="C5" s="231" t="str">
        <f>CONCATENATE("",F1-1," Ad Valorem before Rebate**")</f>
        <v>2023 Ad Valorem before Rebate**</v>
      </c>
      <c r="D5" s="232" t="str">
        <f>CONCATENATE("",F1-1," Mil Rate before Rebate")</f>
        <v>2023 Mil Rate before Rebate</v>
      </c>
      <c r="E5" s="233" t="str">
        <f>CONCATENATE("Estimate ",F1," NR Rebate")</f>
        <v>Estimate 2024 NR Rebate</v>
      </c>
      <c r="F5" s="57"/>
    </row>
    <row r="6" spans="1:6" ht="15.75" x14ac:dyDescent="0.2">
      <c r="A6" s="28"/>
      <c r="B6" s="37" t="str">
        <f>inputPrYr!B18</f>
        <v>General</v>
      </c>
      <c r="C6" s="234"/>
      <c r="D6" s="235" t="str">
        <f>IF(C6&gt;0,C6/$D$24,"")</f>
        <v/>
      </c>
      <c r="E6" s="154">
        <f t="shared" ref="E6:E18" si="0">IF(C6&gt;0,ROUND(D6*$D$28,0),0)</f>
        <v>0</v>
      </c>
      <c r="F6" s="57"/>
    </row>
    <row r="7" spans="1:6" ht="15.75" x14ac:dyDescent="0.2">
      <c r="A7" s="28"/>
      <c r="B7" s="37" t="str">
        <f>inputPrYr!B19</f>
        <v>Debt Service</v>
      </c>
      <c r="C7" s="234"/>
      <c r="D7" s="235" t="str">
        <f t="shared" ref="D7:D17" si="1">IF(C7&gt;0,C7/$D$24,"")</f>
        <v/>
      </c>
      <c r="E7" s="154">
        <f t="shared" si="0"/>
        <v>0</v>
      </c>
      <c r="F7" s="57"/>
    </row>
    <row r="8" spans="1:6" ht="15.75" x14ac:dyDescent="0.2">
      <c r="A8" s="28"/>
      <c r="B8" s="52" t="str">
        <f>inputPrYr!B20</f>
        <v>Library</v>
      </c>
      <c r="C8" s="234"/>
      <c r="D8" s="235" t="str">
        <f t="shared" si="1"/>
        <v/>
      </c>
      <c r="E8" s="154">
        <f t="shared" si="0"/>
        <v>0</v>
      </c>
      <c r="F8" s="57"/>
    </row>
    <row r="9" spans="1:6" ht="15.75" x14ac:dyDescent="0.2">
      <c r="A9" s="28"/>
      <c r="B9" s="52" t="str">
        <f>inputPrYr!B22</f>
        <v>Employee Benefits</v>
      </c>
      <c r="C9" s="234"/>
      <c r="D9" s="235" t="str">
        <f t="shared" si="1"/>
        <v/>
      </c>
      <c r="E9" s="154">
        <f t="shared" si="0"/>
        <v>0</v>
      </c>
      <c r="F9" s="57"/>
    </row>
    <row r="10" spans="1:6" ht="15.75" x14ac:dyDescent="0.2">
      <c r="A10" s="28"/>
      <c r="B10" s="52" t="str">
        <f>inputPrYr!B23</f>
        <v>Library Employee Benefits</v>
      </c>
      <c r="C10" s="234"/>
      <c r="D10" s="235" t="str">
        <f t="shared" si="1"/>
        <v/>
      </c>
      <c r="E10" s="154">
        <f t="shared" si="0"/>
        <v>0</v>
      </c>
      <c r="F10" s="57"/>
    </row>
    <row r="11" spans="1:6" ht="15.75" x14ac:dyDescent="0.2">
      <c r="A11" s="28"/>
      <c r="B11" s="52" t="str">
        <f>inputPrYr!B24</f>
        <v>Special Tort Claim</v>
      </c>
      <c r="C11" s="234"/>
      <c r="D11" s="235" t="str">
        <f t="shared" si="1"/>
        <v/>
      </c>
      <c r="E11" s="154">
        <f t="shared" si="0"/>
        <v>0</v>
      </c>
      <c r="F11" s="57"/>
    </row>
    <row r="12" spans="1:6" ht="15.75" x14ac:dyDescent="0.2">
      <c r="A12" s="28"/>
      <c r="B12" s="52">
        <f>inputPrYr!B25</f>
        <v>0</v>
      </c>
      <c r="C12" s="236"/>
      <c r="D12" s="235" t="str">
        <f t="shared" si="1"/>
        <v/>
      </c>
      <c r="E12" s="154">
        <f t="shared" si="0"/>
        <v>0</v>
      </c>
      <c r="F12" s="57"/>
    </row>
    <row r="13" spans="1:6" ht="15.75" x14ac:dyDescent="0.2">
      <c r="A13" s="28"/>
      <c r="B13" s="52">
        <f>inputPrYr!B26</f>
        <v>0</v>
      </c>
      <c r="C13" s="236"/>
      <c r="D13" s="235" t="str">
        <f t="shared" si="1"/>
        <v/>
      </c>
      <c r="E13" s="154">
        <f t="shared" si="0"/>
        <v>0</v>
      </c>
      <c r="F13" s="57"/>
    </row>
    <row r="14" spans="1:6" ht="15.75" x14ac:dyDescent="0.2">
      <c r="A14" s="28"/>
      <c r="B14" s="52">
        <f>inputPrYr!B27</f>
        <v>0</v>
      </c>
      <c r="C14" s="236"/>
      <c r="D14" s="235" t="str">
        <f t="shared" si="1"/>
        <v/>
      </c>
      <c r="E14" s="154">
        <f t="shared" si="0"/>
        <v>0</v>
      </c>
      <c r="F14" s="57"/>
    </row>
    <row r="15" spans="1:6" ht="15.75" x14ac:dyDescent="0.2">
      <c r="A15" s="28"/>
      <c r="B15" s="52">
        <f>inputPrYr!B28</f>
        <v>0</v>
      </c>
      <c r="C15" s="236"/>
      <c r="D15" s="235" t="str">
        <f t="shared" si="1"/>
        <v/>
      </c>
      <c r="E15" s="154">
        <f t="shared" si="0"/>
        <v>0</v>
      </c>
      <c r="F15" s="57"/>
    </row>
    <row r="16" spans="1:6" ht="15.75" x14ac:dyDescent="0.2">
      <c r="A16" s="28"/>
      <c r="B16" s="52">
        <f>inputPrYr!B29</f>
        <v>0</v>
      </c>
      <c r="C16" s="236"/>
      <c r="D16" s="235" t="str">
        <f t="shared" si="1"/>
        <v/>
      </c>
      <c r="E16" s="154">
        <f t="shared" si="0"/>
        <v>0</v>
      </c>
      <c r="F16" s="57"/>
    </row>
    <row r="17" spans="1:6" ht="15.75" x14ac:dyDescent="0.2">
      <c r="A17" s="28"/>
      <c r="B17" s="52">
        <f>inputPrYr!B30</f>
        <v>0</v>
      </c>
      <c r="C17" s="236"/>
      <c r="D17" s="235" t="str">
        <f t="shared" si="1"/>
        <v/>
      </c>
      <c r="E17" s="154">
        <f t="shared" si="0"/>
        <v>0</v>
      </c>
      <c r="F17" s="57"/>
    </row>
    <row r="18" spans="1:6" ht="15.75" x14ac:dyDescent="0.2">
      <c r="A18" s="28"/>
      <c r="B18" s="52">
        <f>inputPrYr!B31</f>
        <v>0</v>
      </c>
      <c r="C18" s="236"/>
      <c r="D18" s="235" t="str">
        <f>IF(C18&gt;0,C18/$D$24,"")</f>
        <v/>
      </c>
      <c r="E18" s="154">
        <f t="shared" si="0"/>
        <v>0</v>
      </c>
      <c r="F18" s="57"/>
    </row>
    <row r="19" spans="1:6" ht="16.5" thickBot="1" x14ac:dyDescent="0.25">
      <c r="A19" s="28"/>
      <c r="B19" s="38" t="s">
        <v>55</v>
      </c>
      <c r="C19" s="237">
        <f>SUM(C6:C18)</f>
        <v>0</v>
      </c>
      <c r="D19" s="238">
        <f>SUM(D6:D17)</f>
        <v>0</v>
      </c>
      <c r="E19" s="237">
        <f>SUM(E6:E17)</f>
        <v>0</v>
      </c>
      <c r="F19" s="57"/>
    </row>
    <row r="20" spans="1:6" ht="16.5" thickTop="1" x14ac:dyDescent="0.2">
      <c r="A20" s="28"/>
      <c r="B20" s="28"/>
      <c r="C20" s="28"/>
      <c r="D20" s="28"/>
      <c r="E20" s="28"/>
      <c r="F20" s="57"/>
    </row>
    <row r="21" spans="1:6" ht="15.75" x14ac:dyDescent="0.2">
      <c r="A21" s="28"/>
      <c r="B21" s="28"/>
      <c r="C21" s="28"/>
      <c r="D21" s="28"/>
      <c r="E21" s="28"/>
      <c r="F21" s="57"/>
    </row>
    <row r="22" spans="1:6" ht="15.75" x14ac:dyDescent="0.2">
      <c r="A22" s="758" t="str">
        <f>CONCATENATE("",F1-1," July 1 Valuation:")</f>
        <v>2023 July 1 Valuation:</v>
      </c>
      <c r="B22" s="699"/>
      <c r="C22" s="758"/>
      <c r="D22" s="230">
        <f>inputOth!E7</f>
        <v>20856018</v>
      </c>
      <c r="E22" s="28"/>
      <c r="F22" s="57"/>
    </row>
    <row r="23" spans="1:6" ht="15.75" x14ac:dyDescent="0.2">
      <c r="A23" s="28"/>
      <c r="B23" s="28"/>
      <c r="C23" s="28"/>
      <c r="D23" s="28"/>
      <c r="E23" s="28"/>
      <c r="F23" s="57"/>
    </row>
    <row r="24" spans="1:6" ht="15.75" x14ac:dyDescent="0.2">
      <c r="A24" s="28"/>
      <c r="B24" s="758" t="s">
        <v>220</v>
      </c>
      <c r="C24" s="758"/>
      <c r="D24" s="239">
        <f>IF(D22&gt;0,(D22*0.001),"")</f>
        <v>20856.018</v>
      </c>
      <c r="E24" s="28"/>
      <c r="F24" s="57"/>
    </row>
    <row r="25" spans="1:6" ht="15.75" x14ac:dyDescent="0.2">
      <c r="A25" s="28"/>
      <c r="B25" s="80"/>
      <c r="C25" s="80"/>
      <c r="D25" s="240"/>
      <c r="E25" s="28"/>
      <c r="F25" s="57"/>
    </row>
    <row r="26" spans="1:6" ht="15.75" x14ac:dyDescent="0.2">
      <c r="A26" s="676" t="s">
        <v>221</v>
      </c>
      <c r="B26" s="666"/>
      <c r="C26" s="666"/>
      <c r="D26" s="230">
        <f>inputOth!E18</f>
        <v>0</v>
      </c>
      <c r="E26" s="40"/>
      <c r="F26" s="40"/>
    </row>
    <row r="27" spans="1:6" x14ac:dyDescent="0.2">
      <c r="A27" s="40"/>
      <c r="B27" s="40"/>
      <c r="C27" s="40"/>
      <c r="D27" s="241"/>
      <c r="E27" s="40"/>
      <c r="F27" s="40"/>
    </row>
    <row r="28" spans="1:6" ht="15.75" x14ac:dyDescent="0.2">
      <c r="A28" s="40"/>
      <c r="B28" s="676" t="s">
        <v>222</v>
      </c>
      <c r="C28" s="699"/>
      <c r="D28" s="239" t="str">
        <f>IF(D26&gt;0,(D26*0.001),"")</f>
        <v/>
      </c>
      <c r="E28" s="40"/>
      <c r="F28" s="40"/>
    </row>
    <row r="29" spans="1:6" x14ac:dyDescent="0.2">
      <c r="A29" s="40"/>
      <c r="B29" s="40"/>
      <c r="C29" s="40"/>
      <c r="D29" s="40"/>
      <c r="E29" s="40"/>
      <c r="F29" s="40"/>
    </row>
    <row r="30" spans="1:6" x14ac:dyDescent="0.2">
      <c r="A30" s="40"/>
      <c r="B30" s="40"/>
      <c r="C30" s="40"/>
      <c r="D30" s="40"/>
      <c r="E30" s="40"/>
      <c r="F30" s="40"/>
    </row>
    <row r="31" spans="1:6" x14ac:dyDescent="0.2">
      <c r="A31" s="40"/>
      <c r="B31" s="40"/>
      <c r="C31" s="40"/>
      <c r="D31" s="40"/>
      <c r="E31" s="40"/>
      <c r="F31" s="40"/>
    </row>
    <row r="32" spans="1:6" ht="15.75" x14ac:dyDescent="0.25">
      <c r="A32" s="5" t="str">
        <f>CONCATENATE("**This information comes from the ",F1," Budget Summary page.  See instructions tab step #12 for")</f>
        <v>**This information comes from the 2024 Budget Summary page.  See instructions tab step #12 for</v>
      </c>
      <c r="B32" s="40"/>
      <c r="C32" s="40"/>
      <c r="D32" s="40"/>
      <c r="E32" s="40"/>
      <c r="F32" s="40"/>
    </row>
    <row r="33" spans="1:6" ht="15.75" x14ac:dyDescent="0.25">
      <c r="A33" s="5" t="s">
        <v>695</v>
      </c>
      <c r="B33" s="40"/>
      <c r="C33" s="40"/>
      <c r="D33" s="40"/>
      <c r="E33" s="40"/>
      <c r="F33" s="40"/>
    </row>
    <row r="34" spans="1:6" ht="15.75" x14ac:dyDescent="0.25">
      <c r="A34" s="5"/>
      <c r="B34" s="40"/>
      <c r="C34" s="40"/>
      <c r="D34" s="40"/>
      <c r="E34" s="40"/>
      <c r="F34" s="40"/>
    </row>
    <row r="35" spans="1:6" ht="15.75" x14ac:dyDescent="0.25">
      <c r="A35" s="5"/>
      <c r="B35" s="40"/>
      <c r="C35" s="40"/>
      <c r="D35" s="40"/>
      <c r="E35" s="40"/>
      <c r="F35" s="40"/>
    </row>
    <row r="36" spans="1:6" ht="15.75" x14ac:dyDescent="0.25">
      <c r="A36" s="5"/>
      <c r="B36" s="40"/>
      <c r="C36" s="40"/>
      <c r="D36" s="40"/>
      <c r="E36" s="40"/>
      <c r="F36" s="40"/>
    </row>
    <row r="37" spans="1:6" ht="15.75" x14ac:dyDescent="0.25">
      <c r="A37" s="5"/>
      <c r="B37" s="40"/>
      <c r="C37" s="40"/>
      <c r="D37" s="40"/>
      <c r="E37" s="40"/>
      <c r="F37" s="40"/>
    </row>
    <row r="38" spans="1:6" x14ac:dyDescent="0.2">
      <c r="A38" s="40"/>
      <c r="B38" s="40"/>
      <c r="C38" s="40"/>
      <c r="D38" s="40"/>
      <c r="E38" s="40"/>
      <c r="F38" s="40"/>
    </row>
    <row r="39" spans="1:6" ht="15.75" x14ac:dyDescent="0.2">
      <c r="A39" s="40"/>
      <c r="B39" s="80" t="s">
        <v>78</v>
      </c>
      <c r="C39" s="464"/>
      <c r="D39" s="40"/>
      <c r="E39" s="40"/>
      <c r="F39" s="40"/>
    </row>
    <row r="40" spans="1:6" ht="15.75" x14ac:dyDescent="0.2">
      <c r="A40" s="57"/>
      <c r="B40" s="28"/>
      <c r="C40" s="28"/>
      <c r="D40" s="242"/>
      <c r="E40" s="57"/>
      <c r="F40" s="57"/>
    </row>
  </sheetData>
  <sheetProtection sheet="1" objects="1" scenarios="1"/>
  <mergeCells count="5">
    <mergeCell ref="B28:C28"/>
    <mergeCell ref="B3:E3"/>
    <mergeCell ref="A22:C22"/>
    <mergeCell ref="B24:C24"/>
    <mergeCell ref="A26:C26"/>
  </mergeCells>
  <phoneticPr fontId="8" type="noConversion"/>
  <pageMargins left="0.75" right="0.75" top="1" bottom="1" header="0.5" footer="0.5"/>
  <pageSetup scale="92"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topLeftCell="A39" workbookViewId="0">
      <selection activeCell="E53" sqref="E53"/>
    </sheetView>
  </sheetViews>
  <sheetFormatPr defaultColWidth="8.88671875" defaultRowHeight="15" x14ac:dyDescent="0.2"/>
  <cols>
    <col min="1" max="1" width="15.77734375" style="64" customWidth="1"/>
    <col min="2" max="2" width="23.77734375" style="64" customWidth="1"/>
    <col min="3" max="3" width="9.77734375" style="64" customWidth="1"/>
    <col min="4" max="4" width="15.109375" style="64" customWidth="1"/>
    <col min="5" max="5" width="15.77734375" style="64" customWidth="1"/>
    <col min="6" max="16384" width="8.88671875" style="64"/>
  </cols>
  <sheetData>
    <row r="1" spans="1:5" ht="15.75" x14ac:dyDescent="0.2">
      <c r="A1" s="47" t="str">
        <f>inputPrYr!$D$3</f>
        <v>Wellsville</v>
      </c>
      <c r="B1" s="40"/>
      <c r="C1" s="40"/>
      <c r="D1" s="40"/>
      <c r="E1" s="28">
        <f>inputPrYr!C6</f>
        <v>2024</v>
      </c>
    </row>
    <row r="2" spans="1:5" x14ac:dyDescent="0.2">
      <c r="A2" s="40"/>
      <c r="B2" s="40"/>
      <c r="C2" s="40"/>
      <c r="D2" s="40"/>
      <c r="E2" s="40"/>
    </row>
    <row r="3" spans="1:5" ht="15.75" x14ac:dyDescent="0.2">
      <c r="A3" s="633" t="s">
        <v>515</v>
      </c>
      <c r="B3" s="634"/>
      <c r="C3" s="634"/>
      <c r="D3" s="634"/>
      <c r="E3" s="634"/>
    </row>
    <row r="4" spans="1:5" x14ac:dyDescent="0.2">
      <c r="A4" s="40"/>
      <c r="B4" s="40"/>
      <c r="C4" s="40"/>
      <c r="D4" s="40"/>
      <c r="E4" s="40"/>
    </row>
    <row r="5" spans="1:5" x14ac:dyDescent="0.2">
      <c r="A5" s="40"/>
      <c r="B5" s="40"/>
      <c r="C5" s="40"/>
      <c r="D5" s="40"/>
      <c r="E5" s="40"/>
    </row>
    <row r="6" spans="1:5" ht="15.75" x14ac:dyDescent="0.2">
      <c r="A6" s="475" t="str">
        <f>CONCATENATE("From the County Clerk's ",E1," Budget Information:")</f>
        <v>From the County Clerk's 2024 Budget Information:</v>
      </c>
      <c r="B6" s="476"/>
      <c r="C6" s="28"/>
      <c r="D6" s="28"/>
      <c r="E6" s="56"/>
    </row>
    <row r="7" spans="1:5" ht="15.75" x14ac:dyDescent="0.2">
      <c r="A7" s="65" t="str">
        <f>CONCATENATE("Total Assessed Valuation for ",E1-1,"")</f>
        <v>Total Assessed Valuation for 2023</v>
      </c>
      <c r="B7" s="44"/>
      <c r="C7" s="44"/>
      <c r="D7" s="44"/>
      <c r="E7" s="39">
        <v>20856018</v>
      </c>
    </row>
    <row r="8" spans="1:5" ht="15.75" hidden="1" x14ac:dyDescent="0.2">
      <c r="A8" s="65" t="str">
        <f>CONCATENATE("New Improvements, Remodeling and Renovations for ",E1-1,"")</f>
        <v>New Improvements, Remodeling and Renovations for 2023</v>
      </c>
      <c r="B8" s="44"/>
      <c r="C8" s="44"/>
      <c r="D8" s="44"/>
      <c r="E8" s="66"/>
    </row>
    <row r="9" spans="1:5" ht="15.75" hidden="1" x14ac:dyDescent="0.2">
      <c r="A9" s="65" t="str">
        <f>CONCATENATE("Personal Property - ",E1-1,"")</f>
        <v>Personal Property - 2023</v>
      </c>
      <c r="B9" s="44"/>
      <c r="C9" s="44"/>
      <c r="D9" s="44"/>
      <c r="E9" s="66"/>
    </row>
    <row r="10" spans="1:5" ht="15.75" hidden="1" x14ac:dyDescent="0.2">
      <c r="A10" s="67" t="s">
        <v>158</v>
      </c>
      <c r="B10" s="44"/>
      <c r="C10" s="44"/>
      <c r="D10" s="44"/>
      <c r="E10" s="52"/>
    </row>
    <row r="11" spans="1:5" ht="15.75" hidden="1" x14ac:dyDescent="0.2">
      <c r="A11" s="65" t="s">
        <v>134</v>
      </c>
      <c r="B11" s="44"/>
      <c r="C11" s="44"/>
      <c r="D11" s="44"/>
      <c r="E11" s="66"/>
    </row>
    <row r="12" spans="1:5" ht="15.75" hidden="1" x14ac:dyDescent="0.2">
      <c r="A12" s="65" t="s">
        <v>135</v>
      </c>
      <c r="B12" s="44"/>
      <c r="C12" s="44"/>
      <c r="D12" s="44"/>
      <c r="E12" s="66"/>
    </row>
    <row r="13" spans="1:5" ht="15.75" hidden="1" x14ac:dyDescent="0.2">
      <c r="A13" s="65" t="s">
        <v>136</v>
      </c>
      <c r="B13" s="44"/>
      <c r="C13" s="44"/>
      <c r="D13" s="44"/>
      <c r="E13" s="66"/>
    </row>
    <row r="14" spans="1:5" ht="15.75" hidden="1" x14ac:dyDescent="0.2">
      <c r="A14" s="65" t="str">
        <f>CONCATENATE("Property that has changed in use for ",E1-1,"")</f>
        <v>Property that has changed in use for 2023</v>
      </c>
      <c r="B14" s="44"/>
      <c r="C14" s="44"/>
      <c r="D14" s="44"/>
      <c r="E14" s="66"/>
    </row>
    <row r="15" spans="1:5" ht="15.75" hidden="1" x14ac:dyDescent="0.2">
      <c r="A15" s="65" t="str">
        <f>CONCATENATE("Personal Property - ",E1-2,"")</f>
        <v>Personal Property - 2022</v>
      </c>
      <c r="B15" s="44"/>
      <c r="C15" s="44"/>
      <c r="D15" s="44"/>
      <c r="E15" s="66"/>
    </row>
    <row r="16" spans="1:5" ht="15.75" hidden="1" x14ac:dyDescent="0.2">
      <c r="A16" s="65" t="s">
        <v>540</v>
      </c>
      <c r="B16" s="44"/>
      <c r="C16" s="44"/>
      <c r="D16" s="44"/>
      <c r="E16" s="66"/>
    </row>
    <row r="17" spans="1:5" ht="15.75" x14ac:dyDescent="0.2">
      <c r="A17" s="65" t="str">
        <f>CONCATENATE("Gross earnings (intangible) tax estimate for ",E1,"")</f>
        <v>Gross earnings (intangible) tax estimate for 2024</v>
      </c>
      <c r="B17" s="44"/>
      <c r="C17" s="44"/>
      <c r="D17" s="54"/>
      <c r="E17" s="39"/>
    </row>
    <row r="18" spans="1:5" ht="15.75" x14ac:dyDescent="0.2">
      <c r="A18" s="65" t="s">
        <v>159</v>
      </c>
      <c r="B18" s="44"/>
      <c r="C18" s="44"/>
      <c r="D18" s="44"/>
      <c r="E18" s="61"/>
    </row>
    <row r="19" spans="1:5" ht="15.75" x14ac:dyDescent="0.2">
      <c r="A19" s="29"/>
      <c r="B19" s="28"/>
      <c r="C19" s="28"/>
      <c r="D19" s="28"/>
      <c r="E19" s="51"/>
    </row>
    <row r="20" spans="1:5" ht="15.75" x14ac:dyDescent="0.2">
      <c r="A20" s="27" t="s">
        <v>564</v>
      </c>
      <c r="B20" s="28"/>
      <c r="C20" s="28"/>
      <c r="D20" s="559">
        <v>50.973999999999997</v>
      </c>
      <c r="E20" s="51"/>
    </row>
    <row r="21" spans="1:5" ht="15.75" x14ac:dyDescent="0.2">
      <c r="A21" s="29"/>
      <c r="B21" s="28"/>
      <c r="C21" s="28"/>
      <c r="D21" s="28"/>
      <c r="E21" s="51"/>
    </row>
    <row r="22" spans="1:5" ht="15.75" x14ac:dyDescent="0.2">
      <c r="A22" s="29" t="str">
        <f>CONCATENATE("Actual Tax Rates for the ",E1-1," Budget:")</f>
        <v>Actual Tax Rates for the 2023 Budget:</v>
      </c>
      <c r="B22" s="28"/>
      <c r="C22" s="28"/>
      <c r="D22" s="28"/>
      <c r="E22" s="51"/>
    </row>
    <row r="23" spans="1:5" ht="15.75" x14ac:dyDescent="0.2">
      <c r="A23" s="635" t="s">
        <v>46</v>
      </c>
      <c r="B23" s="636"/>
      <c r="C23" s="40"/>
      <c r="D23" s="68" t="s">
        <v>98</v>
      </c>
      <c r="E23" s="51"/>
    </row>
    <row r="24" spans="1:5" ht="15.75" x14ac:dyDescent="0.2">
      <c r="A24" s="42" t="s">
        <v>33</v>
      </c>
      <c r="B24" s="43"/>
      <c r="C24" s="28"/>
      <c r="D24" s="461">
        <v>39.895000000000003</v>
      </c>
      <c r="E24" s="51"/>
    </row>
    <row r="25" spans="1:5" ht="15.75" x14ac:dyDescent="0.2">
      <c r="A25" s="65" t="s">
        <v>16</v>
      </c>
      <c r="B25" s="44"/>
      <c r="C25" s="28"/>
      <c r="D25" s="461">
        <v>2.327</v>
      </c>
      <c r="E25" s="51"/>
    </row>
    <row r="26" spans="1:5" ht="15.75" x14ac:dyDescent="0.2">
      <c r="A26" s="65" t="str">
        <f>IF(inputPrYr!B20&gt;" ",(inputPrYr!B20)," ")</f>
        <v>Library</v>
      </c>
      <c r="B26" s="44"/>
      <c r="C26" s="28"/>
      <c r="D26" s="461">
        <v>4.7750000000000004</v>
      </c>
      <c r="E26" s="51"/>
    </row>
    <row r="27" spans="1:5" ht="15.75" x14ac:dyDescent="0.2">
      <c r="A27" s="65" t="str">
        <f>IF(inputPrYr!B22&gt;" ",(inputPrYr!B22)," ")</f>
        <v>Employee Benefits</v>
      </c>
      <c r="B27" s="44"/>
      <c r="C27" s="28"/>
      <c r="D27" s="461">
        <v>5.8029999999999999</v>
      </c>
      <c r="E27" s="51"/>
    </row>
    <row r="28" spans="1:5" ht="15.75" x14ac:dyDescent="0.2">
      <c r="A28" s="65" t="str">
        <f>IF(inputPrYr!B23&gt;" ",(inputPrYr!B23)," ")</f>
        <v>Library Employee Benefits</v>
      </c>
      <c r="B28" s="44"/>
      <c r="C28" s="28"/>
      <c r="D28" s="461">
        <v>0.40699999999999997</v>
      </c>
      <c r="E28" s="51"/>
    </row>
    <row r="29" spans="1:5" ht="15.75" x14ac:dyDescent="0.2">
      <c r="A29" s="65" t="str">
        <f>IF(inputPrYr!B24&gt;" ",(inputPrYr!B24)," ")</f>
        <v>Special Tort Claim</v>
      </c>
      <c r="B29" s="69"/>
      <c r="C29" s="28"/>
      <c r="D29" s="462">
        <v>1.748</v>
      </c>
      <c r="E29" s="51"/>
    </row>
    <row r="30" spans="1:5" ht="15.75" x14ac:dyDescent="0.2">
      <c r="A30" s="65" t="str">
        <f>IF(inputPrYr!B25&gt;" ",(inputPrYr!B25)," ")</f>
        <v xml:space="preserve"> </v>
      </c>
      <c r="B30" s="69"/>
      <c r="C30" s="28"/>
      <c r="D30" s="462"/>
      <c r="E30" s="51"/>
    </row>
    <row r="31" spans="1:5" ht="15.75" x14ac:dyDescent="0.2">
      <c r="A31" s="65" t="str">
        <f>IF(inputPrYr!B26&gt;" ",(inputPrYr!B26)," ")</f>
        <v xml:space="preserve"> </v>
      </c>
      <c r="B31" s="69"/>
      <c r="C31" s="28"/>
      <c r="D31" s="462"/>
      <c r="E31" s="51"/>
    </row>
    <row r="32" spans="1:5" ht="15.75" x14ac:dyDescent="0.2">
      <c r="A32" s="65" t="str">
        <f>IF(inputPrYr!B27&gt;" ",(inputPrYr!B27)," ")</f>
        <v xml:space="preserve"> </v>
      </c>
      <c r="B32" s="69"/>
      <c r="C32" s="28"/>
      <c r="D32" s="462"/>
      <c r="E32" s="51"/>
    </row>
    <row r="33" spans="1:5" ht="15.75" x14ac:dyDescent="0.2">
      <c r="A33" s="65" t="str">
        <f>IF(inputPrYr!B28&gt;" ",(inputPrYr!B28)," ")</f>
        <v xml:space="preserve"> </v>
      </c>
      <c r="B33" s="69"/>
      <c r="C33" s="28"/>
      <c r="D33" s="462"/>
      <c r="E33" s="51"/>
    </row>
    <row r="34" spans="1:5" ht="15.75" x14ac:dyDescent="0.2">
      <c r="A34" s="65" t="str">
        <f>IF(inputPrYr!B29&gt;" ",(inputPrYr!B29)," ")</f>
        <v xml:space="preserve"> </v>
      </c>
      <c r="B34" s="69"/>
      <c r="C34" s="28"/>
      <c r="D34" s="462"/>
      <c r="E34" s="51"/>
    </row>
    <row r="35" spans="1:5" ht="15.75" x14ac:dyDescent="0.2">
      <c r="A35" s="65" t="str">
        <f>IF(inputPrYr!B30&gt;" ",(inputPrYr!B30)," ")</f>
        <v xml:space="preserve"> </v>
      </c>
      <c r="B35" s="69"/>
      <c r="C35" s="28"/>
      <c r="D35" s="462"/>
      <c r="E35" s="51"/>
    </row>
    <row r="36" spans="1:5" ht="15.75" x14ac:dyDescent="0.2">
      <c r="A36" s="65" t="str">
        <f>IF(inputPrYr!B31&gt;" ",(inputPrYr!B31)," ")</f>
        <v xml:space="preserve"> </v>
      </c>
      <c r="B36" s="44"/>
      <c r="C36" s="28"/>
      <c r="D36" s="461"/>
      <c r="E36" s="51"/>
    </row>
    <row r="37" spans="1:5" ht="15.75" x14ac:dyDescent="0.2">
      <c r="A37" s="40"/>
      <c r="B37" s="28"/>
      <c r="C37" s="184" t="s">
        <v>35</v>
      </c>
      <c r="D37" s="368">
        <f>SUM(D24:D36)</f>
        <v>54.954999999999991</v>
      </c>
      <c r="E37" s="40"/>
    </row>
    <row r="38" spans="1:5" x14ac:dyDescent="0.2">
      <c r="A38" s="40"/>
      <c r="B38" s="40"/>
      <c r="C38" s="40"/>
      <c r="D38" s="40"/>
      <c r="E38" s="40"/>
    </row>
    <row r="39" spans="1:5" ht="15.75" x14ac:dyDescent="0.2">
      <c r="A39" s="43" t="str">
        <f>CONCATENATE("Final Assessed Valuation from the November 1, ",E1-2," Abstract")</f>
        <v>Final Assessed Valuation from the November 1, 2022 Abstract</v>
      </c>
      <c r="B39" s="70"/>
      <c r="C39" s="70"/>
      <c r="D39" s="70"/>
      <c r="E39" s="61">
        <v>19345400</v>
      </c>
    </row>
    <row r="40" spans="1:5" x14ac:dyDescent="0.2">
      <c r="A40" s="40"/>
      <c r="B40" s="40"/>
      <c r="C40" s="40"/>
      <c r="D40" s="40"/>
      <c r="E40" s="40"/>
    </row>
    <row r="41" spans="1:5" ht="15.75" x14ac:dyDescent="0.2">
      <c r="A41" s="491" t="str">
        <f>CONCATENATE("From the County Treasurer's Budget Information - ",E1," Budget Year Estimates:")</f>
        <v>From the County Treasurer's Budget Information - 2024 Budget Year Estimates:</v>
      </c>
      <c r="B41" s="62"/>
      <c r="C41" s="62"/>
      <c r="D41" s="492"/>
      <c r="E41" s="56"/>
    </row>
    <row r="42" spans="1:5" ht="15.75" x14ac:dyDescent="0.2">
      <c r="A42" s="42" t="s">
        <v>36</v>
      </c>
      <c r="B42" s="43"/>
      <c r="C42" s="43"/>
      <c r="D42" s="71"/>
      <c r="E42" s="501">
        <v>89244</v>
      </c>
    </row>
    <row r="43" spans="1:5" ht="15.75" x14ac:dyDescent="0.2">
      <c r="A43" s="65" t="s">
        <v>37</v>
      </c>
      <c r="B43" s="44"/>
      <c r="C43" s="44"/>
      <c r="D43" s="72"/>
      <c r="E43" s="501">
        <v>1945</v>
      </c>
    </row>
    <row r="44" spans="1:5" ht="15.75" x14ac:dyDescent="0.2">
      <c r="A44" s="65" t="s">
        <v>160</v>
      </c>
      <c r="B44" s="44"/>
      <c r="C44" s="44"/>
      <c r="D44" s="72"/>
      <c r="E44" s="501">
        <v>722</v>
      </c>
    </row>
    <row r="45" spans="1:5" ht="15.75" x14ac:dyDescent="0.2">
      <c r="A45" s="503" t="s">
        <v>517</v>
      </c>
      <c r="B45" s="44"/>
      <c r="C45" s="44"/>
      <c r="D45" s="72"/>
      <c r="E45" s="501">
        <v>2571</v>
      </c>
    </row>
    <row r="46" spans="1:5" ht="15.75" x14ac:dyDescent="0.2">
      <c r="A46" s="503" t="s">
        <v>518</v>
      </c>
      <c r="B46" s="44"/>
      <c r="C46" s="44"/>
      <c r="D46" s="72"/>
      <c r="E46" s="501">
        <v>447</v>
      </c>
    </row>
    <row r="47" spans="1:5" ht="15.75" x14ac:dyDescent="0.2">
      <c r="A47" s="65" t="s">
        <v>161</v>
      </c>
      <c r="B47" s="44"/>
      <c r="C47" s="44"/>
      <c r="D47" s="72"/>
      <c r="E47" s="39"/>
    </row>
    <row r="48" spans="1:5" ht="15.75" x14ac:dyDescent="0.2">
      <c r="A48" s="65" t="s">
        <v>162</v>
      </c>
      <c r="B48" s="44"/>
      <c r="C48" s="44"/>
      <c r="D48" s="72"/>
      <c r="E48" s="39"/>
    </row>
    <row r="49" spans="1:5" ht="15.75" x14ac:dyDescent="0.2">
      <c r="A49" s="28" t="s">
        <v>163</v>
      </c>
      <c r="B49" s="28"/>
      <c r="C49" s="28"/>
      <c r="D49" s="28"/>
      <c r="E49" s="28"/>
    </row>
    <row r="50" spans="1:5" ht="15.75" x14ac:dyDescent="0.2">
      <c r="A50" s="27" t="s">
        <v>54</v>
      </c>
      <c r="B50" s="33"/>
      <c r="C50" s="33"/>
      <c r="D50" s="28"/>
      <c r="E50" s="28"/>
    </row>
    <row r="51" spans="1:5" ht="15.75" x14ac:dyDescent="0.2">
      <c r="A51" s="29" t="str">
        <f>CONCATENATE("Actual Delinquency for ",E1-3," Tax - (e.g. rate .01213 = 1.213%;  key in 1.2)")</f>
        <v>Actual Delinquency for 2021 Tax - (e.g. rate .01213 = 1.213%;  key in 1.2)</v>
      </c>
      <c r="B51" s="28"/>
      <c r="C51" s="28"/>
      <c r="D51" s="28"/>
      <c r="E51" s="43"/>
    </row>
    <row r="52" spans="1:5" ht="15.75" x14ac:dyDescent="0.2">
      <c r="A52" s="42" t="s">
        <v>420</v>
      </c>
      <c r="B52" s="42"/>
      <c r="C52" s="43"/>
      <c r="D52" s="43"/>
      <c r="E52" s="498">
        <v>1.4E-2</v>
      </c>
    </row>
    <row r="53" spans="1:5" ht="15.75" x14ac:dyDescent="0.2">
      <c r="A53" s="28"/>
      <c r="B53" s="28"/>
      <c r="C53" s="28"/>
      <c r="D53" s="28"/>
      <c r="E53" s="28"/>
    </row>
    <row r="54" spans="1:5" ht="15.75" x14ac:dyDescent="0.2">
      <c r="A54" s="494" t="s">
        <v>674</v>
      </c>
      <c r="B54" s="495"/>
      <c r="C54" s="496"/>
      <c r="D54" s="496"/>
      <c r="E54" s="497"/>
    </row>
    <row r="55" spans="1:5" ht="15.75" x14ac:dyDescent="0.2">
      <c r="A55" s="43" t="str">
        <f>CONCATENATE("",E1," State Distribution for Kansas Gas Tax")</f>
        <v>2024 State Distribution for Kansas Gas Tax</v>
      </c>
      <c r="B55" s="70"/>
      <c r="C55" s="70"/>
      <c r="D55" s="73"/>
      <c r="E55" s="493"/>
    </row>
    <row r="56" spans="1:5" ht="15.75" x14ac:dyDescent="0.2">
      <c r="A56" s="44" t="str">
        <f>CONCATENATE("",E1," County Transfers for Gas**")</f>
        <v>2024 County Transfers for Gas**</v>
      </c>
      <c r="B56" s="74"/>
      <c r="C56" s="74"/>
      <c r="D56" s="75"/>
      <c r="E56" s="61"/>
    </row>
    <row r="57" spans="1:5" ht="15.75" x14ac:dyDescent="0.2">
      <c r="A57" s="44" t="str">
        <f>CONCATENATE("Adjusted ",E1-1," State Distribution for Kansas Gas Tax")</f>
        <v>Adjusted 2023 State Distribution for Kansas Gas Tax</v>
      </c>
      <c r="B57" s="74"/>
      <c r="C57" s="74"/>
      <c r="D57" s="75"/>
      <c r="E57" s="61"/>
    </row>
    <row r="58" spans="1:5" ht="15.75" x14ac:dyDescent="0.2">
      <c r="A58" s="44" t="str">
        <f>CONCATENATE("Adjusted ",E1-1," County Transfers for Gas**")</f>
        <v>Adjusted 2023 County Transfers for Gas**</v>
      </c>
      <c r="B58" s="74"/>
      <c r="C58" s="74"/>
      <c r="D58" s="75"/>
      <c r="E58" s="61"/>
    </row>
    <row r="59" spans="1:5" x14ac:dyDescent="0.2">
      <c r="A59" s="648" t="s">
        <v>207</v>
      </c>
      <c r="B59" s="649"/>
      <c r="C59" s="649"/>
      <c r="D59" s="649"/>
      <c r="E59" s="649"/>
    </row>
    <row r="60" spans="1:5" x14ac:dyDescent="0.2">
      <c r="A60" s="76" t="s">
        <v>208</v>
      </c>
      <c r="B60" s="76"/>
      <c r="C60" s="76"/>
      <c r="D60" s="76"/>
      <c r="E60" s="76"/>
    </row>
    <row r="61" spans="1:5" x14ac:dyDescent="0.2">
      <c r="A61" s="40"/>
      <c r="B61" s="40"/>
      <c r="C61" s="40"/>
      <c r="D61" s="40"/>
      <c r="E61" s="40"/>
    </row>
    <row r="62" spans="1:5" ht="15.75" x14ac:dyDescent="0.2">
      <c r="A62" s="650" t="str">
        <f>CONCATENATE("From the ",E1-2," Budget Certificate Page")</f>
        <v>From the 2022 Budget Certificate Page</v>
      </c>
      <c r="B62" s="651"/>
      <c r="C62" s="40"/>
      <c r="D62" s="40"/>
      <c r="E62" s="40"/>
    </row>
    <row r="63" spans="1:5" ht="15.75" x14ac:dyDescent="0.2">
      <c r="A63" s="34"/>
      <c r="B63" s="34" t="str">
        <f>CONCATENATE("",E1-2," Expenditure Amounts")</f>
        <v>2022 Expenditure Amounts</v>
      </c>
      <c r="C63" s="646" t="str">
        <f>CONCATENATE("Note: If the ",E1-2," budget was amended, then the")</f>
        <v>Note: If the 2022 budget was amended, then the</v>
      </c>
      <c r="D63" s="647"/>
      <c r="E63" s="647"/>
    </row>
    <row r="64" spans="1:5" ht="15.75" x14ac:dyDescent="0.2">
      <c r="A64" s="77" t="s">
        <v>4</v>
      </c>
      <c r="B64" s="77" t="s">
        <v>5</v>
      </c>
      <c r="C64" s="78" t="s">
        <v>6</v>
      </c>
      <c r="D64" s="79"/>
      <c r="E64" s="79"/>
    </row>
    <row r="65" spans="1:5" ht="15.75" x14ac:dyDescent="0.2">
      <c r="A65" s="52" t="str">
        <f>inputPrYr!B18</f>
        <v>General</v>
      </c>
      <c r="B65" s="61">
        <v>1215896</v>
      </c>
      <c r="C65" s="78" t="s">
        <v>7</v>
      </c>
      <c r="D65" s="79"/>
      <c r="E65" s="79"/>
    </row>
    <row r="66" spans="1:5" ht="15.75" x14ac:dyDescent="0.2">
      <c r="A66" s="52" t="str">
        <f>inputPrYr!B19</f>
        <v>Debt Service</v>
      </c>
      <c r="B66" s="61">
        <v>45000</v>
      </c>
      <c r="C66" s="78"/>
      <c r="D66" s="79"/>
      <c r="E66" s="79"/>
    </row>
    <row r="67" spans="1:5" ht="15.75" x14ac:dyDescent="0.2">
      <c r="A67" s="52" t="str">
        <f>inputPrYr!B20</f>
        <v>Library</v>
      </c>
      <c r="B67" s="61">
        <v>92883</v>
      </c>
      <c r="C67" s="40"/>
      <c r="D67" s="40"/>
      <c r="E67" s="40"/>
    </row>
    <row r="68" spans="1:5" ht="15.75" x14ac:dyDescent="0.2">
      <c r="A68" s="52" t="str">
        <f>inputPrYr!B22</f>
        <v>Employee Benefits</v>
      </c>
      <c r="B68" s="61">
        <v>128000</v>
      </c>
      <c r="C68" s="40"/>
      <c r="D68" s="40"/>
      <c r="E68" s="40"/>
    </row>
    <row r="69" spans="1:5" ht="15.75" x14ac:dyDescent="0.2">
      <c r="A69" s="52" t="str">
        <f>inputPrYr!B23</f>
        <v>Library Employee Benefits</v>
      </c>
      <c r="B69" s="61">
        <v>8000</v>
      </c>
      <c r="C69" s="40"/>
      <c r="D69" s="40"/>
      <c r="E69" s="40"/>
    </row>
    <row r="70" spans="1:5" ht="15.75" x14ac:dyDescent="0.2">
      <c r="A70" s="52" t="str">
        <f>inputPrYr!B24</f>
        <v>Special Tort Claim</v>
      </c>
      <c r="B70" s="61">
        <v>33920</v>
      </c>
      <c r="C70" s="40"/>
      <c r="D70" s="40"/>
      <c r="E70" s="40"/>
    </row>
    <row r="71" spans="1:5" ht="15.75" x14ac:dyDescent="0.2">
      <c r="A71" s="52">
        <f>inputPrYr!B25</f>
        <v>0</v>
      </c>
      <c r="B71" s="61"/>
      <c r="C71" s="40"/>
      <c r="D71" s="40"/>
      <c r="E71" s="40"/>
    </row>
    <row r="72" spans="1:5" ht="15.75" x14ac:dyDescent="0.2">
      <c r="A72" s="52">
        <f>inputPrYr!B26</f>
        <v>0</v>
      </c>
      <c r="B72" s="61"/>
      <c r="C72" s="40"/>
      <c r="D72" s="40"/>
      <c r="E72" s="40"/>
    </row>
    <row r="73" spans="1:5" ht="15.75" x14ac:dyDescent="0.2">
      <c r="A73" s="52">
        <f>inputPrYr!B27</f>
        <v>0</v>
      </c>
      <c r="B73" s="61"/>
      <c r="C73" s="40"/>
      <c r="D73" s="40"/>
      <c r="E73" s="40"/>
    </row>
    <row r="74" spans="1:5" ht="15.75" x14ac:dyDescent="0.2">
      <c r="A74" s="52">
        <f>inputPrYr!B28</f>
        <v>0</v>
      </c>
      <c r="B74" s="61"/>
      <c r="C74" s="40"/>
      <c r="D74" s="40"/>
      <c r="E74" s="40"/>
    </row>
    <row r="75" spans="1:5" ht="15.75" x14ac:dyDescent="0.2">
      <c r="A75" s="52">
        <f>inputPrYr!B29</f>
        <v>0</v>
      </c>
      <c r="B75" s="61"/>
      <c r="C75" s="40"/>
      <c r="D75" s="40"/>
      <c r="E75" s="40"/>
    </row>
    <row r="76" spans="1:5" ht="15.75" x14ac:dyDescent="0.2">
      <c r="A76" s="52">
        <f>inputPrYr!B30</f>
        <v>0</v>
      </c>
      <c r="B76" s="61"/>
      <c r="C76" s="40"/>
      <c r="D76" s="40"/>
      <c r="E76" s="40"/>
    </row>
    <row r="77" spans="1:5" ht="15.75" x14ac:dyDescent="0.2">
      <c r="A77" s="52">
        <f>inputPrYr!B31</f>
        <v>0</v>
      </c>
      <c r="B77" s="61"/>
      <c r="C77" s="40"/>
      <c r="D77" s="40"/>
      <c r="E77" s="40"/>
    </row>
    <row r="78" spans="1:5" ht="15.75" x14ac:dyDescent="0.2">
      <c r="A78" s="52" t="str">
        <f>inputPrYr!B35</f>
        <v>Special Highway</v>
      </c>
      <c r="B78" s="61">
        <v>50793</v>
      </c>
      <c r="C78" s="40"/>
      <c r="D78" s="40"/>
      <c r="E78" s="40"/>
    </row>
    <row r="79" spans="1:5" ht="15.75" x14ac:dyDescent="0.2">
      <c r="A79" s="52" t="str">
        <f>inputPrYr!B36</f>
        <v>Building Capital Improvement</v>
      </c>
      <c r="B79" s="61">
        <v>66364</v>
      </c>
      <c r="C79" s="40"/>
      <c r="D79" s="40"/>
      <c r="E79" s="40"/>
    </row>
    <row r="80" spans="1:5" ht="15.75" x14ac:dyDescent="0.2">
      <c r="A80" s="52" t="str">
        <f>inputPrYr!B37</f>
        <v>Cemetary Perpetual Care</v>
      </c>
      <c r="B80" s="61">
        <v>5000</v>
      </c>
      <c r="C80" s="40"/>
      <c r="D80" s="40"/>
      <c r="E80" s="40"/>
    </row>
    <row r="81" spans="1:5" ht="15.75" x14ac:dyDescent="0.2">
      <c r="A81" s="52">
        <f>inputPrYr!B38</f>
        <v>0</v>
      </c>
      <c r="B81" s="61"/>
      <c r="C81" s="40"/>
      <c r="D81" s="40"/>
      <c r="E81" s="40"/>
    </row>
    <row r="82" spans="1:5" ht="15.75" x14ac:dyDescent="0.2">
      <c r="A82" s="52">
        <f>inputPrYr!B39</f>
        <v>0</v>
      </c>
      <c r="B82" s="61"/>
      <c r="C82" s="40"/>
      <c r="D82" s="40"/>
      <c r="E82" s="40"/>
    </row>
    <row r="83" spans="1:5" ht="15.75" x14ac:dyDescent="0.2">
      <c r="A83" s="52">
        <f>inputPrYr!B40</f>
        <v>0</v>
      </c>
      <c r="B83" s="61"/>
      <c r="C83" s="40"/>
      <c r="D83" s="40"/>
      <c r="E83" s="40"/>
    </row>
    <row r="84" spans="1:5" ht="15.75" x14ac:dyDescent="0.2">
      <c r="A84" s="52">
        <f>inputPrYr!B41</f>
        <v>0</v>
      </c>
      <c r="B84" s="61"/>
      <c r="C84" s="40"/>
      <c r="D84" s="40"/>
      <c r="E84" s="40"/>
    </row>
    <row r="85" spans="1:5" ht="15.75" x14ac:dyDescent="0.2">
      <c r="A85" s="52">
        <f>inputPrYr!B42</f>
        <v>0</v>
      </c>
      <c r="B85" s="61"/>
      <c r="C85" s="40"/>
      <c r="D85" s="40"/>
      <c r="E85" s="40"/>
    </row>
    <row r="86" spans="1:5" ht="15.75" x14ac:dyDescent="0.2">
      <c r="A86" s="52">
        <f>inputPrYr!B43</f>
        <v>0</v>
      </c>
      <c r="B86" s="61"/>
      <c r="C86" s="40"/>
      <c r="D86" s="40"/>
      <c r="E86" s="40"/>
    </row>
    <row r="87" spans="1:5" ht="15.75" x14ac:dyDescent="0.2">
      <c r="A87" s="52">
        <f>inputPrYr!B44</f>
        <v>0</v>
      </c>
      <c r="B87" s="61"/>
      <c r="C87" s="40"/>
      <c r="D87" s="40"/>
      <c r="E87" s="40"/>
    </row>
    <row r="88" spans="1:5" ht="15.75" x14ac:dyDescent="0.2">
      <c r="A88" s="52">
        <f>inputPrYr!B45</f>
        <v>0</v>
      </c>
      <c r="B88" s="61"/>
      <c r="C88" s="40"/>
      <c r="D88" s="40"/>
      <c r="E88" s="40"/>
    </row>
    <row r="89" spans="1:5" ht="15.75" x14ac:dyDescent="0.2">
      <c r="A89" s="52">
        <f>inputPrYr!B46</f>
        <v>0</v>
      </c>
      <c r="B89" s="61"/>
      <c r="C89" s="40"/>
      <c r="D89" s="40"/>
      <c r="E89" s="40"/>
    </row>
    <row r="90" spans="1:5" ht="15.75" x14ac:dyDescent="0.2">
      <c r="A90" s="52">
        <f>inputPrYr!B47</f>
        <v>0</v>
      </c>
      <c r="B90" s="61"/>
      <c r="C90" s="40"/>
      <c r="D90" s="40"/>
      <c r="E90" s="40"/>
    </row>
    <row r="91" spans="1:5" ht="15.75" x14ac:dyDescent="0.2">
      <c r="A91" s="52">
        <f>inputPrYr!B48</f>
        <v>0</v>
      </c>
      <c r="B91" s="61"/>
      <c r="C91" s="40"/>
      <c r="D91" s="40"/>
      <c r="E91" s="40"/>
    </row>
    <row r="92" spans="1:5" ht="15.75" x14ac:dyDescent="0.2">
      <c r="A92" s="52">
        <f>inputPrYr!B49</f>
        <v>0</v>
      </c>
      <c r="B92" s="61"/>
      <c r="C92" s="40"/>
      <c r="D92" s="40"/>
      <c r="E92" s="40"/>
    </row>
    <row r="93" spans="1:5" ht="15.75" x14ac:dyDescent="0.2">
      <c r="A93" s="52">
        <f>inputPrYr!B50</f>
        <v>0</v>
      </c>
      <c r="B93" s="61"/>
      <c r="C93" s="40"/>
      <c r="D93" s="40"/>
      <c r="E93" s="40"/>
    </row>
    <row r="94" spans="1:5" ht="15.75" x14ac:dyDescent="0.2">
      <c r="A94" s="52" t="str">
        <f>inputPrYr!B52</f>
        <v>Combined Sales Tax Improv</v>
      </c>
      <c r="B94" s="61">
        <v>235000</v>
      </c>
      <c r="C94" s="40"/>
      <c r="D94" s="40"/>
      <c r="E94" s="40"/>
    </row>
    <row r="95" spans="1:5" ht="15.75" x14ac:dyDescent="0.2">
      <c r="A95" s="52" t="str">
        <f>inputPrYr!B53</f>
        <v>Community Enhanc Sales Tax</v>
      </c>
      <c r="B95" s="61">
        <v>192000</v>
      </c>
      <c r="C95" s="40"/>
      <c r="D95" s="40"/>
      <c r="E95" s="40"/>
    </row>
    <row r="96" spans="1:5" ht="15.75" x14ac:dyDescent="0.2">
      <c r="A96" s="52" t="str">
        <f>inputPrYr!B54</f>
        <v>Water/Sewer/Refuse Utitly</v>
      </c>
      <c r="B96" s="61">
        <v>1136443</v>
      </c>
      <c r="C96" s="40"/>
      <c r="D96" s="40"/>
      <c r="E96" s="40"/>
    </row>
    <row r="97" spans="1:5" ht="15.75" x14ac:dyDescent="0.2">
      <c r="A97" s="52">
        <f>inputPrYr!B55</f>
        <v>0</v>
      </c>
      <c r="B97" s="61"/>
      <c r="C97" s="40"/>
      <c r="D97" s="40"/>
      <c r="E97" s="40"/>
    </row>
  </sheetData>
  <sheetProtection sheet="1" objects="1" scenarios="1"/>
  <mergeCells count="5">
    <mergeCell ref="C63:E63"/>
    <mergeCell ref="A23:B23"/>
    <mergeCell ref="A59:E59"/>
    <mergeCell ref="A3:E3"/>
    <mergeCell ref="A62:B62"/>
  </mergeCells>
  <phoneticPr fontId="8" type="noConversion"/>
  <pageMargins left="0.75" right="0.75" top="1" bottom="1" header="0.5" footer="0.5"/>
  <pageSetup scale="48"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3" sqref="A3:H3"/>
    </sheetView>
  </sheetViews>
  <sheetFormatPr defaultRowHeight="15" x14ac:dyDescent="0.2"/>
  <sheetData>
    <row r="1" spans="1:8" ht="15.75" x14ac:dyDescent="0.25">
      <c r="A1" s="759" t="s">
        <v>711</v>
      </c>
      <c r="B1" s="759"/>
      <c r="C1" s="759"/>
      <c r="D1" s="759"/>
      <c r="E1" s="759"/>
      <c r="F1" s="759"/>
      <c r="G1" s="759"/>
      <c r="H1" s="759"/>
    </row>
    <row r="2" spans="1:8" ht="15.75" x14ac:dyDescent="0.25">
      <c r="A2" s="1"/>
      <c r="B2" s="1"/>
      <c r="C2" s="1"/>
      <c r="D2" s="1"/>
      <c r="E2" s="1"/>
      <c r="F2" s="1"/>
      <c r="G2" s="1"/>
      <c r="H2" s="1"/>
    </row>
    <row r="3" spans="1:8" ht="52.5" customHeight="1" x14ac:dyDescent="0.25">
      <c r="A3" s="760" t="s">
        <v>712</v>
      </c>
      <c r="B3" s="760"/>
      <c r="C3" s="760"/>
      <c r="D3" s="760"/>
      <c r="E3" s="760"/>
      <c r="F3" s="760"/>
      <c r="G3" s="760"/>
      <c r="H3" s="760"/>
    </row>
    <row r="4" spans="1:8" ht="15.75" x14ac:dyDescent="0.25">
      <c r="A4" s="1"/>
      <c r="B4" s="1"/>
      <c r="C4" s="1"/>
      <c r="D4" s="1"/>
      <c r="E4" s="1"/>
      <c r="F4" s="1"/>
      <c r="G4" s="1"/>
      <c r="H4" s="1"/>
    </row>
    <row r="5" spans="1:8" ht="52.5" customHeight="1" x14ac:dyDescent="0.25">
      <c r="A5" s="572"/>
      <c r="B5" s="761" t="s">
        <v>713</v>
      </c>
      <c r="C5" s="761"/>
      <c r="D5" s="761"/>
      <c r="E5" s="761"/>
      <c r="F5" s="761"/>
      <c r="G5" s="761"/>
      <c r="H5" s="761"/>
    </row>
    <row r="6" spans="1:8" ht="15.75" x14ac:dyDescent="0.25">
      <c r="A6" s="1"/>
      <c r="B6" s="1"/>
      <c r="C6" s="1"/>
      <c r="D6" s="1"/>
      <c r="E6" s="1"/>
      <c r="F6" s="1"/>
      <c r="G6" s="1"/>
      <c r="H6" s="1"/>
    </row>
    <row r="7" spans="1:8" ht="32.25" customHeight="1" x14ac:dyDescent="0.25">
      <c r="A7" s="572"/>
      <c r="B7" s="761" t="s">
        <v>714</v>
      </c>
      <c r="C7" s="761"/>
      <c r="D7" s="761"/>
      <c r="E7" s="761"/>
      <c r="F7" s="761"/>
      <c r="G7" s="761"/>
      <c r="H7" s="761"/>
    </row>
    <row r="8" spans="1:8" ht="15.75" x14ac:dyDescent="0.25">
      <c r="A8" s="1"/>
      <c r="B8" s="1"/>
      <c r="C8" s="1"/>
      <c r="D8" s="1"/>
      <c r="E8" s="1"/>
      <c r="F8" s="1"/>
      <c r="G8" s="1"/>
      <c r="H8" s="1"/>
    </row>
    <row r="9" spans="1:8" ht="15.75" x14ac:dyDescent="0.25">
      <c r="A9" s="762" t="s">
        <v>715</v>
      </c>
      <c r="B9" s="762"/>
      <c r="C9" s="762"/>
      <c r="D9" s="762"/>
      <c r="E9" s="762"/>
      <c r="F9" s="762"/>
      <c r="G9" s="762"/>
      <c r="H9" s="762"/>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716</v>
      </c>
      <c r="B13" s="1"/>
      <c r="C13" s="1"/>
      <c r="D13" s="1"/>
      <c r="E13" s="1"/>
      <c r="F13" s="572"/>
      <c r="G13" s="572"/>
      <c r="H13" s="572"/>
    </row>
    <row r="14" spans="1:8" ht="15.75" x14ac:dyDescent="0.25">
      <c r="A14" s="1"/>
      <c r="B14" s="1"/>
      <c r="C14" s="1"/>
      <c r="D14" s="1"/>
      <c r="E14" s="1"/>
      <c r="F14" s="1" t="s">
        <v>717</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G1"/>
    </sheetView>
  </sheetViews>
  <sheetFormatPr defaultRowHeight="15.75" x14ac:dyDescent="0.25"/>
  <cols>
    <col min="1" max="3" width="11.5546875" style="621" customWidth="1"/>
    <col min="4" max="4" width="12.109375" style="621" customWidth="1"/>
    <col min="5" max="7" width="8.6640625" style="621" customWidth="1"/>
    <col min="8" max="256" width="8.88671875" style="621"/>
    <col min="257" max="260" width="11.5546875" style="621" customWidth="1"/>
    <col min="261" max="263" width="10.5546875" style="621" customWidth="1"/>
    <col min="264" max="512" width="8.88671875" style="621"/>
    <col min="513" max="516" width="11.5546875" style="621" customWidth="1"/>
    <col min="517" max="519" width="10.5546875" style="621" customWidth="1"/>
    <col min="520" max="768" width="8.88671875" style="621"/>
    <col min="769" max="772" width="11.5546875" style="621" customWidth="1"/>
    <col min="773" max="775" width="10.5546875" style="621" customWidth="1"/>
    <col min="776" max="1024" width="8.88671875" style="621"/>
    <col min="1025" max="1028" width="11.5546875" style="621" customWidth="1"/>
    <col min="1029" max="1031" width="10.5546875" style="621" customWidth="1"/>
    <col min="1032" max="1280" width="8.88671875" style="621"/>
    <col min="1281" max="1284" width="11.5546875" style="621" customWidth="1"/>
    <col min="1285" max="1287" width="10.5546875" style="621" customWidth="1"/>
    <col min="1288" max="1536" width="8.88671875" style="621"/>
    <col min="1537" max="1540" width="11.5546875" style="621" customWidth="1"/>
    <col min="1541" max="1543" width="10.5546875" style="621" customWidth="1"/>
    <col min="1544" max="1792" width="8.88671875" style="621"/>
    <col min="1793" max="1796" width="11.5546875" style="621" customWidth="1"/>
    <col min="1797" max="1799" width="10.5546875" style="621" customWidth="1"/>
    <col min="1800" max="2048" width="8.88671875" style="621"/>
    <col min="2049" max="2052" width="11.5546875" style="621" customWidth="1"/>
    <col min="2053" max="2055" width="10.5546875" style="621" customWidth="1"/>
    <col min="2056" max="2304" width="8.88671875" style="621"/>
    <col min="2305" max="2308" width="11.5546875" style="621" customWidth="1"/>
    <col min="2309" max="2311" width="10.5546875" style="621" customWidth="1"/>
    <col min="2312" max="2560" width="8.88671875" style="621"/>
    <col min="2561" max="2564" width="11.5546875" style="621" customWidth="1"/>
    <col min="2565" max="2567" width="10.5546875" style="621" customWidth="1"/>
    <col min="2568" max="2816" width="8.88671875" style="621"/>
    <col min="2817" max="2820" width="11.5546875" style="621" customWidth="1"/>
    <col min="2821" max="2823" width="10.5546875" style="621" customWidth="1"/>
    <col min="2824" max="3072" width="8.88671875" style="621"/>
    <col min="3073" max="3076" width="11.5546875" style="621" customWidth="1"/>
    <col min="3077" max="3079" width="10.5546875" style="621" customWidth="1"/>
    <col min="3080" max="3328" width="8.88671875" style="621"/>
    <col min="3329" max="3332" width="11.5546875" style="621" customWidth="1"/>
    <col min="3333" max="3335" width="10.5546875" style="621" customWidth="1"/>
    <col min="3336" max="3584" width="8.88671875" style="621"/>
    <col min="3585" max="3588" width="11.5546875" style="621" customWidth="1"/>
    <col min="3589" max="3591" width="10.5546875" style="621" customWidth="1"/>
    <col min="3592" max="3840" width="8.88671875" style="621"/>
    <col min="3841" max="3844" width="11.5546875" style="621" customWidth="1"/>
    <col min="3845" max="3847" width="10.5546875" style="621" customWidth="1"/>
    <col min="3848" max="4096" width="8.88671875" style="621"/>
    <col min="4097" max="4100" width="11.5546875" style="621" customWidth="1"/>
    <col min="4101" max="4103" width="10.5546875" style="621" customWidth="1"/>
    <col min="4104" max="4352" width="8.88671875" style="621"/>
    <col min="4353" max="4356" width="11.5546875" style="621" customWidth="1"/>
    <col min="4357" max="4359" width="10.5546875" style="621" customWidth="1"/>
    <col min="4360" max="4608" width="8.88671875" style="621"/>
    <col min="4609" max="4612" width="11.5546875" style="621" customWidth="1"/>
    <col min="4613" max="4615" width="10.5546875" style="621" customWidth="1"/>
    <col min="4616" max="4864" width="8.88671875" style="621"/>
    <col min="4865" max="4868" width="11.5546875" style="621" customWidth="1"/>
    <col min="4869" max="4871" width="10.5546875" style="621" customWidth="1"/>
    <col min="4872" max="5120" width="8.88671875" style="621"/>
    <col min="5121" max="5124" width="11.5546875" style="621" customWidth="1"/>
    <col min="5125" max="5127" width="10.5546875" style="621" customWidth="1"/>
    <col min="5128" max="5376" width="8.88671875" style="621"/>
    <col min="5377" max="5380" width="11.5546875" style="621" customWidth="1"/>
    <col min="5381" max="5383" width="10.5546875" style="621" customWidth="1"/>
    <col min="5384" max="5632" width="8.88671875" style="621"/>
    <col min="5633" max="5636" width="11.5546875" style="621" customWidth="1"/>
    <col min="5637" max="5639" width="10.5546875" style="621" customWidth="1"/>
    <col min="5640" max="5888" width="8.88671875" style="621"/>
    <col min="5889" max="5892" width="11.5546875" style="621" customWidth="1"/>
    <col min="5893" max="5895" width="10.5546875" style="621" customWidth="1"/>
    <col min="5896" max="6144" width="8.88671875" style="621"/>
    <col min="6145" max="6148" width="11.5546875" style="621" customWidth="1"/>
    <col min="6149" max="6151" width="10.5546875" style="621" customWidth="1"/>
    <col min="6152" max="6400" width="8.88671875" style="621"/>
    <col min="6401" max="6404" width="11.5546875" style="621" customWidth="1"/>
    <col min="6405" max="6407" width="10.5546875" style="621" customWidth="1"/>
    <col min="6408" max="6656" width="8.88671875" style="621"/>
    <col min="6657" max="6660" width="11.5546875" style="621" customWidth="1"/>
    <col min="6661" max="6663" width="10.5546875" style="621" customWidth="1"/>
    <col min="6664" max="6912" width="8.88671875" style="621"/>
    <col min="6913" max="6916" width="11.5546875" style="621" customWidth="1"/>
    <col min="6917" max="6919" width="10.5546875" style="621" customWidth="1"/>
    <col min="6920" max="7168" width="8.88671875" style="621"/>
    <col min="7169" max="7172" width="11.5546875" style="621" customWidth="1"/>
    <col min="7173" max="7175" width="10.5546875" style="621" customWidth="1"/>
    <col min="7176" max="7424" width="8.88671875" style="621"/>
    <col min="7425" max="7428" width="11.5546875" style="621" customWidth="1"/>
    <col min="7429" max="7431" width="10.5546875" style="621" customWidth="1"/>
    <col min="7432" max="7680" width="8.88671875" style="621"/>
    <col min="7681" max="7684" width="11.5546875" style="621" customWidth="1"/>
    <col min="7685" max="7687" width="10.5546875" style="621" customWidth="1"/>
    <col min="7688" max="7936" width="8.88671875" style="621"/>
    <col min="7937" max="7940" width="11.5546875" style="621" customWidth="1"/>
    <col min="7941" max="7943" width="10.5546875" style="621" customWidth="1"/>
    <col min="7944" max="8192" width="8.88671875" style="621"/>
    <col min="8193" max="8196" width="11.5546875" style="621" customWidth="1"/>
    <col min="8197" max="8199" width="10.5546875" style="621" customWidth="1"/>
    <col min="8200" max="8448" width="8.88671875" style="621"/>
    <col min="8449" max="8452" width="11.5546875" style="621" customWidth="1"/>
    <col min="8453" max="8455" width="10.5546875" style="621" customWidth="1"/>
    <col min="8456" max="8704" width="8.88671875" style="621"/>
    <col min="8705" max="8708" width="11.5546875" style="621" customWidth="1"/>
    <col min="8709" max="8711" width="10.5546875" style="621" customWidth="1"/>
    <col min="8712" max="8960" width="8.88671875" style="621"/>
    <col min="8961" max="8964" width="11.5546875" style="621" customWidth="1"/>
    <col min="8965" max="8967" width="10.5546875" style="621" customWidth="1"/>
    <col min="8968" max="9216" width="8.88671875" style="621"/>
    <col min="9217" max="9220" width="11.5546875" style="621" customWidth="1"/>
    <col min="9221" max="9223" width="10.5546875" style="621" customWidth="1"/>
    <col min="9224" max="9472" width="8.88671875" style="621"/>
    <col min="9473" max="9476" width="11.5546875" style="621" customWidth="1"/>
    <col min="9477" max="9479" width="10.5546875" style="621" customWidth="1"/>
    <col min="9480" max="9728" width="8.88671875" style="621"/>
    <col min="9729" max="9732" width="11.5546875" style="621" customWidth="1"/>
    <col min="9733" max="9735" width="10.5546875" style="621" customWidth="1"/>
    <col min="9736" max="9984" width="8.88671875" style="621"/>
    <col min="9985" max="9988" width="11.5546875" style="621" customWidth="1"/>
    <col min="9989" max="9991" width="10.5546875" style="621" customWidth="1"/>
    <col min="9992" max="10240" width="8.88671875" style="621"/>
    <col min="10241" max="10244" width="11.5546875" style="621" customWidth="1"/>
    <col min="10245" max="10247" width="10.5546875" style="621" customWidth="1"/>
    <col min="10248" max="10496" width="8.88671875" style="621"/>
    <col min="10497" max="10500" width="11.5546875" style="621" customWidth="1"/>
    <col min="10501" max="10503" width="10.5546875" style="621" customWidth="1"/>
    <col min="10504" max="10752" width="8.88671875" style="621"/>
    <col min="10753" max="10756" width="11.5546875" style="621" customWidth="1"/>
    <col min="10757" max="10759" width="10.5546875" style="621" customWidth="1"/>
    <col min="10760" max="11008" width="8.88671875" style="621"/>
    <col min="11009" max="11012" width="11.5546875" style="621" customWidth="1"/>
    <col min="11013" max="11015" width="10.5546875" style="621" customWidth="1"/>
    <col min="11016" max="11264" width="8.88671875" style="621"/>
    <col min="11265" max="11268" width="11.5546875" style="621" customWidth="1"/>
    <col min="11269" max="11271" width="10.5546875" style="621" customWidth="1"/>
    <col min="11272" max="11520" width="8.88671875" style="621"/>
    <col min="11521" max="11524" width="11.5546875" style="621" customWidth="1"/>
    <col min="11525" max="11527" width="10.5546875" style="621" customWidth="1"/>
    <col min="11528" max="11776" width="8.88671875" style="621"/>
    <col min="11777" max="11780" width="11.5546875" style="621" customWidth="1"/>
    <col min="11781" max="11783" width="10.5546875" style="621" customWidth="1"/>
    <col min="11784" max="12032" width="8.88671875" style="621"/>
    <col min="12033" max="12036" width="11.5546875" style="621" customWidth="1"/>
    <col min="12037" max="12039" width="10.5546875" style="621" customWidth="1"/>
    <col min="12040" max="12288" width="8.88671875" style="621"/>
    <col min="12289" max="12292" width="11.5546875" style="621" customWidth="1"/>
    <col min="12293" max="12295" width="10.5546875" style="621" customWidth="1"/>
    <col min="12296" max="12544" width="8.88671875" style="621"/>
    <col min="12545" max="12548" width="11.5546875" style="621" customWidth="1"/>
    <col min="12549" max="12551" width="10.5546875" style="621" customWidth="1"/>
    <col min="12552" max="12800" width="8.88671875" style="621"/>
    <col min="12801" max="12804" width="11.5546875" style="621" customWidth="1"/>
    <col min="12805" max="12807" width="10.5546875" style="621" customWidth="1"/>
    <col min="12808" max="13056" width="8.88671875" style="621"/>
    <col min="13057" max="13060" width="11.5546875" style="621" customWidth="1"/>
    <col min="13061" max="13063" width="10.5546875" style="621" customWidth="1"/>
    <col min="13064" max="13312" width="8.88671875" style="621"/>
    <col min="13313" max="13316" width="11.5546875" style="621" customWidth="1"/>
    <col min="13317" max="13319" width="10.5546875" style="621" customWidth="1"/>
    <col min="13320" max="13568" width="8.88671875" style="621"/>
    <col min="13569" max="13572" width="11.5546875" style="621" customWidth="1"/>
    <col min="13573" max="13575" width="10.5546875" style="621" customWidth="1"/>
    <col min="13576" max="13824" width="8.88671875" style="621"/>
    <col min="13825" max="13828" width="11.5546875" style="621" customWidth="1"/>
    <col min="13829" max="13831" width="10.5546875" style="621" customWidth="1"/>
    <col min="13832" max="14080" width="8.88671875" style="621"/>
    <col min="14081" max="14084" width="11.5546875" style="621" customWidth="1"/>
    <col min="14085" max="14087" width="10.5546875" style="621" customWidth="1"/>
    <col min="14088" max="14336" width="8.88671875" style="621"/>
    <col min="14337" max="14340" width="11.5546875" style="621" customWidth="1"/>
    <col min="14341" max="14343" width="10.5546875" style="621" customWidth="1"/>
    <col min="14344" max="14592" width="8.88671875" style="621"/>
    <col min="14593" max="14596" width="11.5546875" style="621" customWidth="1"/>
    <col min="14597" max="14599" width="10.5546875" style="621" customWidth="1"/>
    <col min="14600" max="14848" width="8.88671875" style="621"/>
    <col min="14849" max="14852" width="11.5546875" style="621" customWidth="1"/>
    <col min="14853" max="14855" width="10.5546875" style="621" customWidth="1"/>
    <col min="14856" max="15104" width="8.88671875" style="621"/>
    <col min="15105" max="15108" width="11.5546875" style="621" customWidth="1"/>
    <col min="15109" max="15111" width="10.5546875" style="621" customWidth="1"/>
    <col min="15112" max="15360" width="8.88671875" style="621"/>
    <col min="15361" max="15364" width="11.5546875" style="621" customWidth="1"/>
    <col min="15365" max="15367" width="10.5546875" style="621" customWidth="1"/>
    <col min="15368" max="15616" width="8.88671875" style="621"/>
    <col min="15617" max="15620" width="11.5546875" style="621" customWidth="1"/>
    <col min="15621" max="15623" width="10.5546875" style="621" customWidth="1"/>
    <col min="15624" max="15872" width="8.88671875" style="621"/>
    <col min="15873" max="15876" width="11.5546875" style="621" customWidth="1"/>
    <col min="15877" max="15879" width="10.5546875" style="621" customWidth="1"/>
    <col min="15880" max="16128" width="8.88671875" style="621"/>
    <col min="16129" max="16132" width="11.5546875" style="621" customWidth="1"/>
    <col min="16133" max="16135" width="10.5546875" style="621" customWidth="1"/>
    <col min="16136" max="16384" width="8.88671875" style="621"/>
  </cols>
  <sheetData>
    <row r="1" spans="1:7" ht="18.75" x14ac:dyDescent="0.3">
      <c r="A1" s="770" t="s">
        <v>965</v>
      </c>
      <c r="B1" s="770"/>
      <c r="C1" s="770"/>
      <c r="D1" s="770"/>
      <c r="E1" s="770"/>
      <c r="F1" s="770"/>
      <c r="G1" s="770"/>
    </row>
    <row r="2" spans="1:7" x14ac:dyDescent="0.25">
      <c r="A2" s="622"/>
      <c r="B2" s="622"/>
      <c r="C2" s="622"/>
      <c r="D2" s="622"/>
      <c r="E2" s="622"/>
      <c r="F2" s="622"/>
      <c r="G2" s="622"/>
    </row>
    <row r="3" spans="1:7" ht="32.25" customHeight="1" x14ac:dyDescent="0.25">
      <c r="A3" s="771" t="s">
        <v>966</v>
      </c>
      <c r="B3" s="771"/>
      <c r="C3" s="771"/>
      <c r="D3" s="771"/>
      <c r="E3" s="771"/>
      <c r="F3" s="771"/>
      <c r="G3" s="771"/>
    </row>
    <row r="4" spans="1:7" ht="8.25" customHeight="1" x14ac:dyDescent="0.25">
      <c r="A4" s="623"/>
      <c r="B4" s="623"/>
      <c r="C4" s="623"/>
      <c r="D4" s="623"/>
      <c r="E4" s="623"/>
      <c r="F4" s="623"/>
      <c r="G4" s="623"/>
    </row>
    <row r="5" spans="1:7" x14ac:dyDescent="0.25">
      <c r="A5" s="772" t="s">
        <v>967</v>
      </c>
      <c r="B5" s="772"/>
      <c r="C5" s="772"/>
      <c r="D5" s="772"/>
      <c r="E5" s="772"/>
      <c r="F5" s="772"/>
      <c r="G5" s="772"/>
    </row>
    <row r="6" spans="1:7" ht="8.25" customHeight="1" x14ac:dyDescent="0.25">
      <c r="A6" s="624"/>
      <c r="B6" s="624"/>
      <c r="C6" s="624"/>
      <c r="D6" s="624"/>
      <c r="E6" s="624"/>
      <c r="F6" s="624"/>
      <c r="G6" s="624"/>
    </row>
    <row r="7" spans="1:7" x14ac:dyDescent="0.25">
      <c r="A7" s="772" t="s">
        <v>968</v>
      </c>
      <c r="B7" s="772"/>
      <c r="C7" s="772"/>
      <c r="D7" s="772"/>
      <c r="E7" s="772"/>
      <c r="F7" s="772"/>
      <c r="G7" s="772"/>
    </row>
    <row r="8" spans="1:7" x14ac:dyDescent="0.25">
      <c r="A8" s="624"/>
      <c r="B8" s="624"/>
      <c r="C8" s="624"/>
      <c r="D8" s="624"/>
      <c r="E8" s="624"/>
      <c r="F8" s="624"/>
      <c r="G8" s="624"/>
    </row>
    <row r="9" spans="1:7" ht="22.5" customHeight="1" x14ac:dyDescent="0.25">
      <c r="A9" s="773" t="s">
        <v>969</v>
      </c>
      <c r="B9" s="774"/>
      <c r="C9" s="774"/>
      <c r="D9" s="775"/>
      <c r="E9" s="625" t="s">
        <v>970</v>
      </c>
      <c r="F9" s="625" t="s">
        <v>971</v>
      </c>
      <c r="G9" s="625" t="s">
        <v>972</v>
      </c>
    </row>
    <row r="10" spans="1:7" ht="22.5" customHeight="1" x14ac:dyDescent="0.25">
      <c r="A10" s="767"/>
      <c r="B10" s="768"/>
      <c r="C10" s="768"/>
      <c r="D10" s="769"/>
      <c r="E10" s="626"/>
      <c r="F10" s="626"/>
      <c r="G10" s="626"/>
    </row>
    <row r="11" spans="1:7" ht="22.5" customHeight="1" x14ac:dyDescent="0.25">
      <c r="A11" s="767"/>
      <c r="B11" s="768"/>
      <c r="C11" s="768"/>
      <c r="D11" s="769"/>
      <c r="E11" s="626"/>
      <c r="F11" s="626"/>
      <c r="G11" s="626"/>
    </row>
    <row r="12" spans="1:7" ht="22.5" customHeight="1" x14ac:dyDescent="0.25">
      <c r="A12" s="763"/>
      <c r="B12" s="763"/>
      <c r="C12" s="763"/>
      <c r="D12" s="763"/>
      <c r="E12" s="626"/>
      <c r="F12" s="626"/>
      <c r="G12" s="626"/>
    </row>
    <row r="13" spans="1:7" ht="22.5" customHeight="1" x14ac:dyDescent="0.25">
      <c r="A13" s="763"/>
      <c r="B13" s="763"/>
      <c r="C13" s="763"/>
      <c r="D13" s="763"/>
      <c r="E13" s="626"/>
      <c r="F13" s="626"/>
      <c r="G13" s="626"/>
    </row>
    <row r="14" spans="1:7" ht="22.5" customHeight="1" x14ac:dyDescent="0.25">
      <c r="A14" s="763"/>
      <c r="B14" s="763"/>
      <c r="C14" s="763"/>
      <c r="D14" s="763"/>
      <c r="E14" s="626"/>
      <c r="F14" s="626"/>
      <c r="G14" s="626"/>
    </row>
    <row r="15" spans="1:7" ht="22.5" customHeight="1" x14ac:dyDescent="0.25">
      <c r="A15" s="763"/>
      <c r="B15" s="763"/>
      <c r="C15" s="763"/>
      <c r="D15" s="763"/>
      <c r="E15" s="626"/>
      <c r="F15" s="626"/>
      <c r="G15" s="626"/>
    </row>
    <row r="16" spans="1:7" ht="22.5" customHeight="1" x14ac:dyDescent="0.25">
      <c r="A16" s="763"/>
      <c r="B16" s="763"/>
      <c r="C16" s="763"/>
      <c r="D16" s="763"/>
      <c r="E16" s="626"/>
      <c r="F16" s="626"/>
      <c r="G16" s="626"/>
    </row>
    <row r="17" spans="1:7" ht="22.5" customHeight="1" x14ac:dyDescent="0.25">
      <c r="A17" s="763"/>
      <c r="B17" s="763"/>
      <c r="C17" s="763"/>
      <c r="D17" s="763"/>
      <c r="E17" s="626"/>
      <c r="F17" s="626"/>
      <c r="G17" s="626"/>
    </row>
    <row r="18" spans="1:7" ht="22.5" customHeight="1" thickBot="1" x14ac:dyDescent="0.3">
      <c r="A18" s="764"/>
      <c r="B18" s="764"/>
      <c r="C18" s="764"/>
      <c r="D18" s="764"/>
      <c r="E18" s="627"/>
      <c r="F18" s="627"/>
      <c r="G18" s="627"/>
    </row>
    <row r="19" spans="1:7" ht="22.5" customHeight="1" thickTop="1" x14ac:dyDescent="0.25">
      <c r="A19" s="765" t="s">
        <v>55</v>
      </c>
      <c r="B19" s="765"/>
      <c r="C19" s="765"/>
      <c r="D19" s="765"/>
      <c r="E19" s="628"/>
      <c r="F19" s="628"/>
      <c r="G19" s="628"/>
    </row>
    <row r="21" spans="1:7" x14ac:dyDescent="0.25">
      <c r="A21" s="629" t="s">
        <v>973</v>
      </c>
      <c r="B21" s="630"/>
    </row>
    <row r="22" spans="1:7" x14ac:dyDescent="0.25">
      <c r="A22" s="766"/>
      <c r="B22" s="766"/>
      <c r="C22" s="766"/>
    </row>
  </sheetData>
  <sheetProtection sheet="1" objects="1" scenarios="1"/>
  <mergeCells count="16">
    <mergeCell ref="A10:D10"/>
    <mergeCell ref="A1:G1"/>
    <mergeCell ref="A3:G3"/>
    <mergeCell ref="A5:G5"/>
    <mergeCell ref="A7:G7"/>
    <mergeCell ref="A9:D9"/>
    <mergeCell ref="A17:D17"/>
    <mergeCell ref="A18:D18"/>
    <mergeCell ref="A19:D19"/>
    <mergeCell ref="A22:C22"/>
    <mergeCell ref="A11:D11"/>
    <mergeCell ref="A12:D12"/>
    <mergeCell ref="A13:D13"/>
    <mergeCell ref="A14:D14"/>
    <mergeCell ref="A15:D15"/>
    <mergeCell ref="A16:D16"/>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4" workbookViewId="0">
      <selection activeCell="I9" sqref="I9"/>
    </sheetView>
  </sheetViews>
  <sheetFormatPr defaultRowHeight="15.75" x14ac:dyDescent="0.25"/>
  <cols>
    <col min="1" max="1" width="8.88671875" style="1"/>
    <col min="4" max="4" width="18" customWidth="1"/>
    <col min="7" max="7" width="12.77734375" customWidth="1"/>
  </cols>
  <sheetData>
    <row r="1" spans="1:7" x14ac:dyDescent="0.25">
      <c r="A1" s="762" t="s">
        <v>696</v>
      </c>
      <c r="B1" s="762"/>
      <c r="C1" s="762"/>
      <c r="D1" s="762"/>
      <c r="E1" s="762"/>
      <c r="F1" s="762"/>
      <c r="G1" s="762"/>
    </row>
    <row r="3" spans="1:7" ht="55.5" customHeight="1" x14ac:dyDescent="0.25">
      <c r="A3" s="777" t="s">
        <v>697</v>
      </c>
      <c r="B3" s="777"/>
      <c r="C3" s="777"/>
      <c r="D3" s="777"/>
      <c r="E3" s="777"/>
      <c r="F3" s="777"/>
      <c r="G3" s="777"/>
    </row>
    <row r="4" spans="1:7" ht="55.5" customHeight="1" x14ac:dyDescent="0.25">
      <c r="A4" s="776" t="s">
        <v>698</v>
      </c>
      <c r="B4" s="776"/>
      <c r="C4" s="776"/>
      <c r="D4" s="776"/>
      <c r="E4" s="776"/>
      <c r="F4" s="776"/>
      <c r="G4" s="776"/>
    </row>
    <row r="5" spans="1:7" ht="55.5" customHeight="1" x14ac:dyDescent="0.25">
      <c r="A5" s="776" t="s">
        <v>699</v>
      </c>
      <c r="B5" s="776"/>
      <c r="C5" s="776"/>
      <c r="D5" s="776"/>
      <c r="E5" s="776"/>
      <c r="F5" s="776"/>
      <c r="G5" s="776"/>
    </row>
    <row r="6" spans="1:7" ht="55.5" customHeight="1" x14ac:dyDescent="0.25">
      <c r="A6" s="776" t="s">
        <v>700</v>
      </c>
      <c r="B6" s="776"/>
      <c r="C6" s="776"/>
      <c r="D6" s="776"/>
      <c r="E6" s="776"/>
      <c r="F6" s="776"/>
      <c r="G6" s="776"/>
    </row>
    <row r="7" spans="1:7" ht="55.5" customHeight="1" x14ac:dyDescent="0.25">
      <c r="A7" s="776" t="s">
        <v>701</v>
      </c>
      <c r="B7" s="776"/>
      <c r="C7" s="776"/>
      <c r="D7" s="776"/>
      <c r="E7" s="776"/>
      <c r="F7" s="776"/>
      <c r="G7" s="776"/>
    </row>
    <row r="8" spans="1:7" ht="55.5" customHeight="1" x14ac:dyDescent="0.25">
      <c r="A8" s="777" t="s">
        <v>702</v>
      </c>
      <c r="B8" s="777"/>
      <c r="C8" s="777"/>
      <c r="D8" s="777"/>
      <c r="E8" s="777"/>
      <c r="F8" s="777"/>
      <c r="G8" s="777"/>
    </row>
    <row r="9" spans="1:7" ht="55.5" customHeight="1" x14ac:dyDescent="0.25">
      <c r="A9" s="776" t="s">
        <v>703</v>
      </c>
      <c r="B9" s="776"/>
      <c r="C9" s="776"/>
      <c r="D9" s="776"/>
      <c r="E9" s="776"/>
      <c r="F9" s="776"/>
      <c r="G9" s="776"/>
    </row>
    <row r="10" spans="1:7" ht="55.5" customHeight="1" x14ac:dyDescent="0.25">
      <c r="A10" s="776" t="s">
        <v>704</v>
      </c>
      <c r="B10" s="776"/>
      <c r="C10" s="776"/>
      <c r="D10" s="776"/>
      <c r="E10" s="776"/>
      <c r="F10" s="776"/>
      <c r="G10" s="776"/>
    </row>
    <row r="11" spans="1:7" ht="55.5" customHeight="1" x14ac:dyDescent="0.25">
      <c r="A11" s="776" t="s">
        <v>705</v>
      </c>
      <c r="B11" s="776"/>
      <c r="C11" s="776"/>
      <c r="D11" s="776"/>
      <c r="E11" s="776"/>
      <c r="F11" s="776"/>
      <c r="G11" s="776"/>
    </row>
    <row r="12" spans="1:7" x14ac:dyDescent="0.25">
      <c r="A12" s="761" t="s">
        <v>706</v>
      </c>
      <c r="B12" s="761"/>
      <c r="C12" s="761"/>
      <c r="D12" s="761"/>
      <c r="E12" s="761"/>
      <c r="F12" s="761"/>
      <c r="G12" s="761"/>
    </row>
    <row r="13" spans="1:7" x14ac:dyDescent="0.25">
      <c r="A13" s="761" t="s">
        <v>707</v>
      </c>
      <c r="B13" s="761"/>
      <c r="C13" s="761"/>
      <c r="D13" s="761"/>
      <c r="E13" s="761"/>
      <c r="F13" s="761"/>
      <c r="G13" s="761"/>
    </row>
    <row r="14" spans="1:7" x14ac:dyDescent="0.25">
      <c r="A14" s="761" t="s">
        <v>708</v>
      </c>
      <c r="B14" s="761"/>
      <c r="C14" s="761"/>
      <c r="D14" s="761"/>
      <c r="E14" s="761"/>
      <c r="F14" s="761"/>
      <c r="G14" s="761"/>
    </row>
    <row r="15" spans="1:7" x14ac:dyDescent="0.25">
      <c r="A15" s="761" t="s">
        <v>709</v>
      </c>
      <c r="B15" s="761"/>
      <c r="C15" s="761"/>
      <c r="D15" s="761"/>
      <c r="E15" s="761"/>
      <c r="F15" s="761"/>
      <c r="G15" s="761"/>
    </row>
    <row r="16" spans="1:7" x14ac:dyDescent="0.25">
      <c r="A16" s="761" t="s">
        <v>710</v>
      </c>
      <c r="B16" s="761"/>
      <c r="C16" s="761"/>
      <c r="D16" s="761"/>
      <c r="E16" s="761"/>
      <c r="F16" s="761"/>
      <c r="G16" s="761"/>
    </row>
  </sheetData>
  <sheetProtection sheet="1" objects="1" scenarios="1"/>
  <mergeCells count="15">
    <mergeCell ref="A14:G14"/>
    <mergeCell ref="A15:G15"/>
    <mergeCell ref="A16:G16"/>
    <mergeCell ref="A8:G8"/>
    <mergeCell ref="A9:G9"/>
    <mergeCell ref="A10:G10"/>
    <mergeCell ref="A11:G11"/>
    <mergeCell ref="A12:G12"/>
    <mergeCell ref="A13:G13"/>
    <mergeCell ref="A7:G7"/>
    <mergeCell ref="A1:G1"/>
    <mergeCell ref="A3:G3"/>
    <mergeCell ref="A4:G4"/>
    <mergeCell ref="A5:G5"/>
    <mergeCell ref="A6:G6"/>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4"/>
  <sheetViews>
    <sheetView workbookViewId="0">
      <selection sqref="A1:A2"/>
    </sheetView>
  </sheetViews>
  <sheetFormatPr defaultRowHeight="15.75" x14ac:dyDescent="0.25"/>
  <cols>
    <col min="1" max="1" width="67" style="1" customWidth="1"/>
  </cols>
  <sheetData>
    <row r="1" spans="1:12" ht="15.75" customHeight="1" x14ac:dyDescent="0.2">
      <c r="A1" s="778" t="s">
        <v>650</v>
      </c>
    </row>
    <row r="2" spans="1:12" ht="15.75" customHeight="1" x14ac:dyDescent="0.2">
      <c r="A2" s="779"/>
    </row>
    <row r="3" spans="1:12" x14ac:dyDescent="0.25">
      <c r="A3" s="555" t="s">
        <v>287</v>
      </c>
      <c r="B3" s="597"/>
      <c r="C3" s="597"/>
      <c r="D3" s="597"/>
      <c r="E3" s="597"/>
      <c r="F3" s="597"/>
      <c r="G3" s="597"/>
      <c r="H3" s="597"/>
      <c r="I3" s="597"/>
      <c r="J3" s="597"/>
      <c r="K3" s="597"/>
      <c r="L3" s="597"/>
    </row>
    <row r="5" spans="1:12" x14ac:dyDescent="0.25">
      <c r="A5" s="1" t="str">
        <f>CONCATENATE("Welcome. You have been directed to this tab because your ",[1]inputPrYr!C6-2," total expenditures exceed your ")</f>
        <v xml:space="preserve">Welcome. You have been directed to this tab because your 2022 total expenditures exceed your </v>
      </c>
    </row>
    <row r="6" spans="1:12" x14ac:dyDescent="0.25">
      <c r="A6" s="1" t="str">
        <f>CONCATENATE([1]inputPrYr!C6-2," budget authority.")</f>
        <v>2022 budget authority.</v>
      </c>
    </row>
    <row r="8" spans="1:12" x14ac:dyDescent="0.25">
      <c r="A8" s="1" t="s">
        <v>737</v>
      </c>
    </row>
    <row r="9" spans="1:12" x14ac:dyDescent="0.25">
      <c r="A9" s="1" t="s">
        <v>738</v>
      </c>
    </row>
    <row r="11" spans="1:12" x14ac:dyDescent="0.25">
      <c r="A11" s="557" t="s">
        <v>288</v>
      </c>
    </row>
    <row r="13" spans="1:12" x14ac:dyDescent="0.25">
      <c r="A13" s="1" t="s">
        <v>739</v>
      </c>
    </row>
    <row r="14" spans="1:12" x14ac:dyDescent="0.25">
      <c r="A14" s="1" t="str">
        <f>CONCATENATE("or the ",[1]inputPrYr!C6," adopted budget has not been submitted to the county clerk) then the budget violation")</f>
        <v>or the 2024 adopted budget has not been submitted to the county clerk) then the budget violation</v>
      </c>
    </row>
    <row r="15" spans="1:12" x14ac:dyDescent="0.25">
      <c r="A15" s="1" t="s">
        <v>740</v>
      </c>
    </row>
    <row r="17" spans="1:1" x14ac:dyDescent="0.25">
      <c r="A17" s="557" t="s">
        <v>289</v>
      </c>
    </row>
    <row r="18" spans="1:1" x14ac:dyDescent="0.25">
      <c r="A18" s="557"/>
    </row>
    <row r="19" spans="1:1" x14ac:dyDescent="0.25">
      <c r="A19" s="1" t="s">
        <v>741</v>
      </c>
    </row>
    <row r="20" spans="1:1" x14ac:dyDescent="0.25">
      <c r="A20" s="1" t="str">
        <f>CONCATENATE("entered for this particular fund.  If your ",[1]inputPrYr!C6-2," budget was amended, did you use the amended,")</f>
        <v>entered for this particular fund.  If your 2022 budget was amended, did you use the amended,</v>
      </c>
    </row>
    <row r="21" spans="1:1" x14ac:dyDescent="0.25">
      <c r="A21" s="1" t="s">
        <v>742</v>
      </c>
    </row>
    <row r="23" spans="1:1" x14ac:dyDescent="0.25">
      <c r="A23" s="1" t="str">
        <f>CONCATENATE("Next, look to see if any of your ",[1]inputPrYr!C6-2," expenditures can be reduced or eliminated. For example,")</f>
        <v>Next, look to see if any of your 2022 expenditures can be reduced or eliminated. For example,</v>
      </c>
    </row>
    <row r="24" spans="1:1" x14ac:dyDescent="0.25">
      <c r="A24" s="1" t="s">
        <v>743</v>
      </c>
    </row>
    <row r="25" spans="1:1" x14ac:dyDescent="0.25">
      <c r="A25" s="1" t="s">
        <v>744</v>
      </c>
    </row>
    <row r="27" spans="1:1" x14ac:dyDescent="0.25">
      <c r="A27" s="1" t="str">
        <f>CONCATENATE("Additionally, do your ",[1]inputPrYr!C6-2," receipts contain a reimbursement (e.g. FEMA)? If so, instead of")</f>
        <v>Additionally, do your 2022 receipts contain a reimbursement (e.g. FEMA)? If so, instead of</v>
      </c>
    </row>
    <row r="28" spans="1:1" x14ac:dyDescent="0.25">
      <c r="A28" s="1" t="s">
        <v>745</v>
      </c>
    </row>
    <row r="30" spans="1:1" x14ac:dyDescent="0.25">
      <c r="A30" s="1" t="s">
        <v>746</v>
      </c>
    </row>
    <row r="31" spans="1:1" x14ac:dyDescent="0.25">
      <c r="A31" s="1" t="s">
        <v>747</v>
      </c>
    </row>
    <row r="32" spans="1:1" x14ac:dyDescent="0.25">
      <c r="A32" s="1" t="s">
        <v>748</v>
      </c>
    </row>
    <row r="33" spans="1:1" x14ac:dyDescent="0.25">
      <c r="A33" s="1" t="s">
        <v>749</v>
      </c>
    </row>
    <row r="34" spans="1:1" x14ac:dyDescent="0.25">
      <c r="A34" s="1" t="s">
        <v>290</v>
      </c>
    </row>
    <row r="36" spans="1:1" x14ac:dyDescent="0.25">
      <c r="A36" s="1" t="s">
        <v>750</v>
      </c>
    </row>
    <row r="37" spans="1:1" x14ac:dyDescent="0.25">
      <c r="A37" s="1" t="s">
        <v>751</v>
      </c>
    </row>
    <row r="39" spans="1:1" x14ac:dyDescent="0.25">
      <c r="A39" s="1" t="s">
        <v>752</v>
      </c>
    </row>
    <row r="40" spans="1:1" x14ac:dyDescent="0.25">
      <c r="A40" s="1" t="s">
        <v>753</v>
      </c>
    </row>
    <row r="42" spans="1:1" x14ac:dyDescent="0.25">
      <c r="A42" s="557" t="s">
        <v>291</v>
      </c>
    </row>
    <row r="44" spans="1:1" x14ac:dyDescent="0.25">
      <c r="A44" s="1" t="s">
        <v>754</v>
      </c>
    </row>
    <row r="45" spans="1:1" x14ac:dyDescent="0.25">
      <c r="A45" s="1" t="s">
        <v>755</v>
      </c>
    </row>
    <row r="46" spans="1:1" x14ac:dyDescent="0.25">
      <c r="A46" s="1" t="s">
        <v>756</v>
      </c>
    </row>
    <row r="47" spans="1:1" x14ac:dyDescent="0.25">
      <c r="A47" s="1" t="s">
        <v>757</v>
      </c>
    </row>
    <row r="48" spans="1:1" x14ac:dyDescent="0.25">
      <c r="A48" s="1" t="s">
        <v>758</v>
      </c>
    </row>
    <row r="49" spans="1:1" x14ac:dyDescent="0.25">
      <c r="A49" s="1" t="s">
        <v>759</v>
      </c>
    </row>
    <row r="50" spans="1:1" x14ac:dyDescent="0.25">
      <c r="A50" s="1" t="s">
        <v>760</v>
      </c>
    </row>
    <row r="51" spans="1:1" x14ac:dyDescent="0.25">
      <c r="A51" s="1" t="s">
        <v>761</v>
      </c>
    </row>
    <row r="53" spans="1:1" x14ac:dyDescent="0.25">
      <c r="A53" s="1" t="s">
        <v>762</v>
      </c>
    </row>
    <row r="54" spans="1:1" x14ac:dyDescent="0.25">
      <c r="A54" s="1" t="s">
        <v>763</v>
      </c>
    </row>
    <row r="56" spans="1:1" x14ac:dyDescent="0.25">
      <c r="A56" s="557" t="str">
        <f>CONCATENATE("What if the ",[1]inputPrYr!C6-2," financial records have been closed?")</f>
        <v>What if the 2022 financial records have been closed?</v>
      </c>
    </row>
    <row r="57" spans="1:1" x14ac:dyDescent="0.25">
      <c r="A57" s="1" t="s">
        <v>40</v>
      </c>
    </row>
    <row r="58" spans="1:1" x14ac:dyDescent="0.25">
      <c r="A58" s="1" t="str">
        <f>CONCATENATE("If the municipality financial records have been closed (i.e. an audit for ",[1]inputPrYr!C6-2," has been completed, or")</f>
        <v>If the municipality financial records have been closed (i.e. an audit for 2022 has been completed, or</v>
      </c>
    </row>
    <row r="59" spans="1:1" x14ac:dyDescent="0.25">
      <c r="A59" s="1" t="str">
        <f>CONCATENATE("the ",[1]inputPrYr!C6," the violation cannot be fixed and must be shown as it occurred. ")</f>
        <v xml:space="preserve">the 2024 the violation cannot be fixed and must be shown as it occurred. </v>
      </c>
    </row>
    <row r="61" spans="1:1" x14ac:dyDescent="0.25">
      <c r="A61" s="1" t="s">
        <v>764</v>
      </c>
    </row>
    <row r="62" spans="1:1" x14ac:dyDescent="0.25">
      <c r="A62" s="1" t="s">
        <v>765</v>
      </c>
    </row>
    <row r="64" spans="1:1" x14ac:dyDescent="0.25">
      <c r="A64" s="1" t="s">
        <v>292</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2"/>
  <sheetViews>
    <sheetView workbookViewId="0">
      <selection sqref="A1:A2"/>
    </sheetView>
  </sheetViews>
  <sheetFormatPr defaultRowHeight="15.75" x14ac:dyDescent="0.25"/>
  <cols>
    <col min="1" max="1" width="66.77734375" style="1" customWidth="1"/>
  </cols>
  <sheetData>
    <row r="1" spans="1:10" ht="15.75" customHeight="1" x14ac:dyDescent="0.2">
      <c r="A1" s="780" t="s">
        <v>651</v>
      </c>
    </row>
    <row r="2" spans="1:10" ht="15.75" customHeight="1" x14ac:dyDescent="0.2">
      <c r="A2" s="780"/>
    </row>
    <row r="3" spans="1:10" x14ac:dyDescent="0.25">
      <c r="A3" s="555" t="s">
        <v>293</v>
      </c>
      <c r="B3" s="597"/>
      <c r="C3" s="597"/>
      <c r="D3" s="597"/>
      <c r="E3" s="597"/>
      <c r="F3" s="597"/>
      <c r="G3" s="597"/>
      <c r="H3" s="248"/>
      <c r="I3" s="248"/>
      <c r="J3" s="248"/>
    </row>
    <row r="5" spans="1:10" x14ac:dyDescent="0.25">
      <c r="A5" s="1" t="str">
        <f>CONCATENATE("Welcome. You have been directed to this tab because your ",[1]inputPrYr!C6-2," expenditures show that you ")</f>
        <v xml:space="preserve">Welcome. You have been directed to this tab because your 2022 expenditures show that you </v>
      </c>
    </row>
    <row r="6" spans="1:10" x14ac:dyDescent="0.25">
      <c r="A6" s="1" t="s">
        <v>766</v>
      </c>
    </row>
    <row r="8" spans="1:10" x14ac:dyDescent="0.25">
      <c r="A8" s="1" t="s">
        <v>767</v>
      </c>
    </row>
    <row r="9" spans="1:10" x14ac:dyDescent="0.25">
      <c r="A9" s="1" t="s">
        <v>296</v>
      </c>
    </row>
    <row r="11" spans="1:10" x14ac:dyDescent="0.25">
      <c r="A11" s="557" t="s">
        <v>294</v>
      </c>
    </row>
    <row r="12" spans="1:10" x14ac:dyDescent="0.25">
      <c r="A12" s="557"/>
    </row>
    <row r="13" spans="1:10" x14ac:dyDescent="0.25">
      <c r="A13" s="1" t="s">
        <v>768</v>
      </c>
    </row>
    <row r="14" spans="1:10" x14ac:dyDescent="0.25">
      <c r="A14" s="1" t="s">
        <v>769</v>
      </c>
    </row>
    <row r="16" spans="1:10" x14ac:dyDescent="0.25">
      <c r="A16" s="557" t="s">
        <v>295</v>
      </c>
    </row>
    <row r="17" spans="1:8" x14ac:dyDescent="0.25">
      <c r="A17" s="557"/>
    </row>
    <row r="18" spans="1:8" x14ac:dyDescent="0.25">
      <c r="A18" s="1" t="s">
        <v>770</v>
      </c>
    </row>
    <row r="19" spans="1:8" x14ac:dyDescent="0.25">
      <c r="A19" s="1" t="s">
        <v>771</v>
      </c>
    </row>
    <row r="21" spans="1:8" x14ac:dyDescent="0.25">
      <c r="A21" s="557" t="s">
        <v>772</v>
      </c>
    </row>
    <row r="22" spans="1:8" x14ac:dyDescent="0.25">
      <c r="A22" s="557"/>
    </row>
    <row r="23" spans="1:8" x14ac:dyDescent="0.25">
      <c r="A23" s="1" t="s">
        <v>773</v>
      </c>
    </row>
    <row r="24" spans="1:8" x14ac:dyDescent="0.25">
      <c r="A24" s="1" t="s">
        <v>774</v>
      </c>
    </row>
    <row r="26" spans="1:8" x14ac:dyDescent="0.25">
      <c r="A26" s="557" t="s">
        <v>297</v>
      </c>
    </row>
    <row r="27" spans="1:8" x14ac:dyDescent="0.25">
      <c r="A27" s="557"/>
    </row>
    <row r="28" spans="1:8" x14ac:dyDescent="0.25">
      <c r="A28" s="1" t="str">
        <f>CONCATENATE("If your financial records are not closed for ",[1]inputPrYr!C6-2," (i.e.an audit has not been completed, or the")</f>
        <v>If your financial records are not closed for 2022 (i.e.an audit has not been completed, or the</v>
      </c>
      <c r="B28" s="598"/>
      <c r="C28" s="598"/>
      <c r="D28" s="598"/>
      <c r="E28" s="598"/>
      <c r="F28" s="598"/>
      <c r="G28" s="598"/>
      <c r="H28" s="598"/>
    </row>
    <row r="29" spans="1:8" x14ac:dyDescent="0.25">
      <c r="A29" s="1" t="str">
        <f>CONCATENATE([1]inputPrYr!C6," adopted budget has not been submitted to the county clerk) then either your fund receipts will")</f>
        <v>2024 adopted budget has not been submitted to the county clerk) then either your fund receipts will</v>
      </c>
      <c r="B29" s="598"/>
      <c r="C29" s="598"/>
      <c r="D29" s="598"/>
      <c r="E29" s="598"/>
      <c r="F29" s="598"/>
      <c r="G29" s="598"/>
      <c r="H29" s="598"/>
    </row>
    <row r="30" spans="1:8" x14ac:dyDescent="0.25">
      <c r="A30" s="1" t="s">
        <v>775</v>
      </c>
      <c r="B30" s="598"/>
      <c r="C30" s="598"/>
      <c r="D30" s="598"/>
      <c r="E30" s="598"/>
      <c r="F30" s="598"/>
      <c r="G30" s="598"/>
      <c r="H30" s="598"/>
    </row>
    <row r="31" spans="1:8" x14ac:dyDescent="0.25">
      <c r="A31" s="1" t="s">
        <v>776</v>
      </c>
      <c r="B31" s="598"/>
      <c r="C31" s="598"/>
      <c r="D31" s="598"/>
      <c r="E31" s="598"/>
      <c r="F31" s="598"/>
      <c r="G31" s="598"/>
      <c r="H31" s="598"/>
    </row>
    <row r="32" spans="1:8" x14ac:dyDescent="0.25">
      <c r="B32" s="598"/>
      <c r="C32" s="598"/>
      <c r="D32" s="598"/>
      <c r="E32" s="598"/>
      <c r="F32" s="598"/>
      <c r="G32" s="598"/>
      <c r="H32" s="598"/>
    </row>
    <row r="33" spans="1:8" x14ac:dyDescent="0.25">
      <c r="B33" s="598"/>
      <c r="C33" s="598"/>
      <c r="D33" s="598"/>
      <c r="E33" s="598"/>
      <c r="F33" s="598"/>
      <c r="G33" s="598"/>
      <c r="H33" s="598"/>
    </row>
    <row r="34" spans="1:8" x14ac:dyDescent="0.25">
      <c r="A34" s="1" t="s">
        <v>777</v>
      </c>
      <c r="B34" s="598"/>
      <c r="C34" s="598"/>
      <c r="D34" s="598"/>
      <c r="E34" s="598"/>
      <c r="F34" s="598"/>
      <c r="G34" s="598"/>
      <c r="H34" s="598"/>
    </row>
    <row r="35" spans="1:8" x14ac:dyDescent="0.25">
      <c r="A35" s="1" t="s">
        <v>778</v>
      </c>
      <c r="B35" s="598"/>
      <c r="C35" s="598"/>
      <c r="D35" s="598"/>
      <c r="E35" s="598"/>
      <c r="F35" s="598"/>
      <c r="G35" s="598"/>
      <c r="H35" s="598"/>
    </row>
    <row r="36" spans="1:8" x14ac:dyDescent="0.25">
      <c r="A36" s="1" t="s">
        <v>779</v>
      </c>
      <c r="B36" s="598"/>
      <c r="C36" s="598"/>
      <c r="D36" s="598"/>
      <c r="E36" s="598"/>
      <c r="F36" s="598"/>
      <c r="G36" s="598"/>
      <c r="H36" s="598"/>
    </row>
    <row r="37" spans="1:8" x14ac:dyDescent="0.25">
      <c r="B37" s="598"/>
      <c r="C37" s="598"/>
      <c r="D37" s="598"/>
      <c r="E37" s="598"/>
      <c r="F37" s="598"/>
      <c r="G37" s="598"/>
      <c r="H37" s="598"/>
    </row>
    <row r="38" spans="1:8" x14ac:dyDescent="0.25">
      <c r="A38" s="1" t="s">
        <v>780</v>
      </c>
      <c r="B38" s="598"/>
      <c r="C38" s="598"/>
      <c r="D38" s="598"/>
      <c r="E38" s="598"/>
      <c r="F38" s="598"/>
      <c r="G38" s="598"/>
      <c r="H38" s="598"/>
    </row>
    <row r="39" spans="1:8" x14ac:dyDescent="0.25">
      <c r="A39" s="1" t="s">
        <v>781</v>
      </c>
      <c r="B39" s="598"/>
      <c r="C39" s="598"/>
      <c r="D39" s="598"/>
      <c r="E39" s="598"/>
      <c r="F39" s="598"/>
      <c r="G39" s="598"/>
      <c r="H39" s="598"/>
    </row>
    <row r="40" spans="1:8" x14ac:dyDescent="0.25">
      <c r="A40" s="1" t="s">
        <v>782</v>
      </c>
      <c r="B40" s="598"/>
      <c r="C40" s="598"/>
      <c r="D40" s="598"/>
      <c r="E40" s="598"/>
      <c r="F40" s="598"/>
      <c r="G40" s="598"/>
      <c r="H40" s="598"/>
    </row>
    <row r="41" spans="1:8" x14ac:dyDescent="0.25">
      <c r="B41" s="598"/>
      <c r="C41" s="598"/>
      <c r="D41" s="598"/>
      <c r="E41" s="598"/>
      <c r="F41" s="598"/>
      <c r="G41" s="598"/>
      <c r="H41" s="598"/>
    </row>
    <row r="42" spans="1:8" x14ac:dyDescent="0.25">
      <c r="A42" s="557" t="s">
        <v>783</v>
      </c>
      <c r="B42" s="248"/>
      <c r="C42" s="248"/>
      <c r="D42" s="248"/>
      <c r="E42" s="248"/>
      <c r="F42" s="248"/>
      <c r="G42" s="248"/>
      <c r="H42" s="598"/>
    </row>
    <row r="43" spans="1:8" x14ac:dyDescent="0.25">
      <c r="B43" s="598"/>
      <c r="C43" s="598"/>
      <c r="D43" s="598"/>
      <c r="E43" s="598"/>
      <c r="F43" s="598"/>
      <c r="G43" s="598"/>
      <c r="H43" s="598"/>
    </row>
    <row r="44" spans="1:8" x14ac:dyDescent="0.25">
      <c r="A44" s="1" t="s">
        <v>784</v>
      </c>
      <c r="B44" s="598"/>
      <c r="C44" s="598"/>
      <c r="D44" s="598"/>
      <c r="E44" s="598"/>
      <c r="F44" s="598"/>
      <c r="G44" s="598"/>
      <c r="H44" s="598"/>
    </row>
    <row r="45" spans="1:8" x14ac:dyDescent="0.25">
      <c r="A45" s="1" t="s">
        <v>785</v>
      </c>
      <c r="B45" s="598"/>
      <c r="C45" s="598"/>
      <c r="D45" s="598"/>
      <c r="E45" s="598"/>
      <c r="F45" s="598"/>
      <c r="G45" s="598"/>
      <c r="H45" s="598"/>
    </row>
    <row r="46" spans="1:8" x14ac:dyDescent="0.25">
      <c r="B46" s="598"/>
      <c r="C46" s="598"/>
      <c r="D46" s="598"/>
      <c r="E46" s="598"/>
      <c r="F46" s="598"/>
      <c r="G46" s="598"/>
      <c r="H46" s="598"/>
    </row>
    <row r="47" spans="1:8" x14ac:dyDescent="0.25">
      <c r="A47" s="1" t="s">
        <v>786</v>
      </c>
      <c r="B47" s="598"/>
      <c r="C47" s="598"/>
      <c r="D47" s="598"/>
      <c r="E47" s="598"/>
      <c r="F47" s="598"/>
      <c r="G47" s="598"/>
      <c r="H47" s="598"/>
    </row>
    <row r="48" spans="1:8" x14ac:dyDescent="0.25">
      <c r="A48" s="1" t="s">
        <v>787</v>
      </c>
      <c r="B48" s="598"/>
      <c r="C48" s="598"/>
      <c r="D48" s="598"/>
      <c r="E48" s="598"/>
      <c r="F48" s="598"/>
      <c r="G48" s="598"/>
      <c r="H48" s="598"/>
    </row>
    <row r="49" spans="1:8" x14ac:dyDescent="0.25">
      <c r="A49" s="1" t="s">
        <v>788</v>
      </c>
      <c r="B49" s="598"/>
      <c r="C49" s="598"/>
      <c r="D49" s="598"/>
      <c r="E49" s="598"/>
      <c r="F49" s="598"/>
      <c r="G49" s="598"/>
      <c r="H49" s="598"/>
    </row>
    <row r="50" spans="1:8" x14ac:dyDescent="0.25">
      <c r="A50" s="1" t="s">
        <v>789</v>
      </c>
      <c r="B50" s="598"/>
      <c r="C50" s="598"/>
      <c r="D50" s="598"/>
      <c r="E50" s="598"/>
      <c r="F50" s="598"/>
      <c r="G50" s="598"/>
      <c r="H50" s="598"/>
    </row>
    <row r="51" spans="1:8" x14ac:dyDescent="0.25">
      <c r="B51" s="598"/>
      <c r="C51" s="598"/>
      <c r="D51" s="598"/>
      <c r="E51" s="598"/>
      <c r="F51" s="598"/>
      <c r="G51" s="598"/>
      <c r="H51" s="598"/>
    </row>
    <row r="52" spans="1:8" x14ac:dyDescent="0.25">
      <c r="B52" s="598"/>
      <c r="C52" s="598"/>
      <c r="D52" s="598"/>
      <c r="E52" s="598"/>
      <c r="F52" s="598"/>
      <c r="G52" s="598"/>
      <c r="H52" s="598"/>
    </row>
    <row r="53" spans="1:8" x14ac:dyDescent="0.25">
      <c r="A53" s="1" t="s">
        <v>790</v>
      </c>
      <c r="B53" s="598"/>
      <c r="C53" s="598"/>
      <c r="D53" s="598"/>
      <c r="E53" s="598"/>
      <c r="F53" s="598"/>
      <c r="G53" s="598"/>
      <c r="H53" s="598"/>
    </row>
    <row r="54" spans="1:8" x14ac:dyDescent="0.25">
      <c r="A54" s="1" t="s">
        <v>791</v>
      </c>
      <c r="B54" s="598"/>
      <c r="C54" s="598"/>
      <c r="D54" s="598"/>
      <c r="E54" s="598"/>
      <c r="F54" s="598"/>
      <c r="G54" s="598"/>
      <c r="H54" s="598"/>
    </row>
    <row r="55" spans="1:8" x14ac:dyDescent="0.25">
      <c r="A55" s="1" t="s">
        <v>792</v>
      </c>
      <c r="B55" s="598"/>
      <c r="C55" s="598"/>
      <c r="D55" s="598"/>
      <c r="E55" s="598"/>
      <c r="F55" s="598"/>
      <c r="G55" s="598"/>
      <c r="H55" s="598"/>
    </row>
    <row r="56" spans="1:8" x14ac:dyDescent="0.25">
      <c r="A56" s="1" t="s">
        <v>793</v>
      </c>
      <c r="B56" s="598"/>
      <c r="C56" s="598"/>
      <c r="D56" s="598"/>
      <c r="E56" s="598"/>
      <c r="F56" s="598"/>
      <c r="G56" s="598"/>
      <c r="H56" s="598"/>
    </row>
    <row r="57" spans="1:8" x14ac:dyDescent="0.25">
      <c r="A57" s="1" t="s">
        <v>301</v>
      </c>
      <c r="B57" s="598"/>
      <c r="C57" s="598"/>
      <c r="D57" s="598"/>
      <c r="E57" s="598"/>
      <c r="F57" s="598"/>
      <c r="G57" s="598"/>
      <c r="H57" s="598"/>
    </row>
    <row r="58" spans="1:8" x14ac:dyDescent="0.25">
      <c r="B58" s="598"/>
      <c r="C58" s="598"/>
      <c r="D58" s="598"/>
      <c r="E58" s="598"/>
      <c r="F58" s="598"/>
      <c r="G58" s="598"/>
      <c r="H58" s="598"/>
    </row>
    <row r="59" spans="1:8" x14ac:dyDescent="0.25">
      <c r="A59" s="1" t="s">
        <v>794</v>
      </c>
      <c r="B59" s="598"/>
      <c r="C59" s="598"/>
      <c r="D59" s="598"/>
      <c r="E59" s="598"/>
      <c r="F59" s="598"/>
      <c r="G59" s="598"/>
      <c r="H59" s="598"/>
    </row>
    <row r="60" spans="1:8" x14ac:dyDescent="0.25">
      <c r="A60" s="1" t="s">
        <v>795</v>
      </c>
      <c r="B60" s="598"/>
      <c r="C60" s="598"/>
      <c r="D60" s="598"/>
      <c r="E60" s="598"/>
      <c r="F60" s="598"/>
      <c r="G60" s="598"/>
      <c r="H60" s="598"/>
    </row>
    <row r="61" spans="1:8" x14ac:dyDescent="0.25">
      <c r="B61" s="598"/>
      <c r="C61" s="598"/>
      <c r="D61" s="598"/>
      <c r="E61" s="598"/>
      <c r="F61" s="598"/>
      <c r="G61" s="598"/>
      <c r="H61" s="598"/>
    </row>
    <row r="62" spans="1:8" x14ac:dyDescent="0.25">
      <c r="A62" s="1" t="s">
        <v>292</v>
      </c>
    </row>
    <row r="63" spans="1:8" x14ac:dyDescent="0.25">
      <c r="A63" s="557"/>
    </row>
    <row r="90" spans="1:1" x14ac:dyDescent="0.25">
      <c r="A90" s="557"/>
    </row>
    <row r="91" spans="1:1" x14ac:dyDescent="0.25">
      <c r="A91" s="557"/>
    </row>
    <row r="92" spans="1:1" x14ac:dyDescent="0.25">
      <c r="A92" s="557"/>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workbookViewId="0">
      <selection sqref="A1:A2"/>
    </sheetView>
  </sheetViews>
  <sheetFormatPr defaultRowHeight="15.75" x14ac:dyDescent="0.25"/>
  <cols>
    <col min="1" max="1" width="66.77734375" style="1" customWidth="1"/>
  </cols>
  <sheetData>
    <row r="1" spans="1:12" ht="15.75" customHeight="1" x14ac:dyDescent="0.2">
      <c r="A1" s="780" t="s">
        <v>652</v>
      </c>
    </row>
    <row r="2" spans="1:12" ht="15.75" customHeight="1" x14ac:dyDescent="0.2">
      <c r="A2" s="780"/>
    </row>
    <row r="3" spans="1:12" x14ac:dyDescent="0.25">
      <c r="A3" s="555" t="s">
        <v>298</v>
      </c>
      <c r="B3" s="597"/>
      <c r="C3" s="597"/>
      <c r="D3" s="597"/>
      <c r="E3" s="597"/>
      <c r="F3" s="597"/>
      <c r="G3" s="597"/>
      <c r="H3" s="597"/>
      <c r="I3" s="597"/>
      <c r="J3" s="597"/>
      <c r="K3" s="597"/>
      <c r="L3" s="597"/>
    </row>
    <row r="4" spans="1:12" x14ac:dyDescent="0.25">
      <c r="A4" s="555"/>
      <c r="B4" s="597"/>
      <c r="C4" s="597"/>
      <c r="D4" s="597"/>
      <c r="E4" s="597"/>
      <c r="F4" s="597"/>
      <c r="G4" s="597"/>
      <c r="H4" s="597"/>
      <c r="I4" s="597"/>
      <c r="J4" s="597"/>
      <c r="K4" s="597"/>
      <c r="L4" s="597"/>
    </row>
    <row r="5" spans="1:12" x14ac:dyDescent="0.25">
      <c r="I5" s="597"/>
      <c r="J5" s="597"/>
      <c r="K5" s="597"/>
      <c r="L5" s="597"/>
    </row>
    <row r="6" spans="1:12" x14ac:dyDescent="0.25">
      <c r="A6" s="1" t="str">
        <f>CONCATENATE("Welcome.  You have been directed to this tab because your estimated ",[1]inputPrYr!C6-1," total expenditures")</f>
        <v>Welcome.  You have been directed to this tab because your estimated 2023 total expenditures</v>
      </c>
      <c r="I6" s="597"/>
      <c r="J6" s="597"/>
      <c r="K6" s="597"/>
      <c r="L6" s="597"/>
    </row>
    <row r="7" spans="1:12" x14ac:dyDescent="0.25">
      <c r="A7" s="556" t="str">
        <f>CONCATENATE("exceed your ",[1]inputPrYr!C6-1," budget authority.")</f>
        <v>exceed your 2023 budget authority.</v>
      </c>
      <c r="I7" s="597"/>
      <c r="J7" s="597"/>
      <c r="K7" s="597"/>
      <c r="L7" s="597"/>
    </row>
    <row r="8" spans="1:12" x14ac:dyDescent="0.25">
      <c r="I8" s="597"/>
      <c r="J8" s="597"/>
      <c r="K8" s="597"/>
      <c r="L8" s="597"/>
    </row>
    <row r="9" spans="1:12" x14ac:dyDescent="0.25">
      <c r="A9" s="1" t="s">
        <v>796</v>
      </c>
      <c r="I9" s="597"/>
      <c r="J9" s="597"/>
      <c r="K9" s="597"/>
      <c r="L9" s="597"/>
    </row>
    <row r="10" spans="1:12" x14ac:dyDescent="0.25">
      <c r="A10" s="1" t="s">
        <v>797</v>
      </c>
      <c r="I10" s="597"/>
      <c r="J10" s="597"/>
      <c r="K10" s="597"/>
      <c r="L10" s="597"/>
    </row>
    <row r="11" spans="1:12" x14ac:dyDescent="0.25">
      <c r="A11" s="1" t="s">
        <v>798</v>
      </c>
      <c r="I11" s="597"/>
      <c r="J11" s="597"/>
      <c r="K11" s="597"/>
      <c r="L11" s="597"/>
    </row>
    <row r="12" spans="1:12" x14ac:dyDescent="0.25">
      <c r="A12" s="555"/>
      <c r="B12" s="597"/>
      <c r="C12" s="597"/>
      <c r="D12" s="597"/>
      <c r="E12" s="597"/>
      <c r="F12" s="597"/>
      <c r="G12" s="597"/>
      <c r="H12" s="597"/>
      <c r="I12" s="597"/>
      <c r="J12" s="597"/>
      <c r="K12" s="597"/>
      <c r="L12" s="597"/>
    </row>
    <row r="13" spans="1:12" x14ac:dyDescent="0.25">
      <c r="A13" s="557" t="s">
        <v>799</v>
      </c>
    </row>
    <row r="14" spans="1:12" x14ac:dyDescent="0.25">
      <c r="B14" s="598"/>
      <c r="C14" s="598"/>
      <c r="D14" s="598"/>
      <c r="E14" s="598"/>
      <c r="F14" s="598"/>
      <c r="G14" s="598"/>
    </row>
    <row r="15" spans="1:12" x14ac:dyDescent="0.25">
      <c r="A15" s="1" t="str">
        <f>CONCATENATE("Naturally, our preference would be that you consider your ",[1]inputPrYr!C6-1," numbers to see what steps might be")</f>
        <v>Naturally, our preference would be that you consider your 2023 numbers to see what steps might be</v>
      </c>
      <c r="B15" s="598"/>
      <c r="C15" s="598"/>
      <c r="D15" s="598"/>
      <c r="E15" s="598"/>
      <c r="F15" s="598"/>
      <c r="G15" s="598"/>
    </row>
    <row r="16" spans="1:12" ht="17.25" customHeight="1" x14ac:dyDescent="0.25">
      <c r="A16" s="1" t="s">
        <v>800</v>
      </c>
      <c r="B16" s="598"/>
      <c r="C16" s="598"/>
      <c r="D16" s="598"/>
      <c r="E16" s="598"/>
      <c r="F16" s="598"/>
      <c r="G16" s="598"/>
    </row>
    <row r="17" spans="1:7" ht="17.25" customHeight="1" x14ac:dyDescent="0.25">
      <c r="A17" s="1" t="s">
        <v>801</v>
      </c>
      <c r="B17" s="598"/>
      <c r="C17" s="598"/>
      <c r="D17" s="598"/>
      <c r="E17" s="598"/>
      <c r="F17" s="598"/>
      <c r="G17" s="598"/>
    </row>
    <row r="19" spans="1:7" x14ac:dyDescent="0.25">
      <c r="A19" s="557" t="s">
        <v>299</v>
      </c>
    </row>
    <row r="20" spans="1:7" x14ac:dyDescent="0.25">
      <c r="A20" s="557"/>
    </row>
    <row r="21" spans="1:7" x14ac:dyDescent="0.25">
      <c r="A21" s="1" t="s">
        <v>802</v>
      </c>
    </row>
    <row r="22" spans="1:7" x14ac:dyDescent="0.25">
      <c r="A22" s="1" t="s">
        <v>803</v>
      </c>
      <c r="B22" s="598"/>
      <c r="C22" s="598"/>
      <c r="D22" s="598"/>
      <c r="E22" s="598"/>
      <c r="F22" s="598"/>
    </row>
    <row r="23" spans="1:7" x14ac:dyDescent="0.25">
      <c r="B23" s="598"/>
      <c r="C23" s="598"/>
      <c r="D23" s="598"/>
      <c r="E23" s="598"/>
      <c r="F23" s="598"/>
    </row>
    <row r="24" spans="1:7" x14ac:dyDescent="0.25">
      <c r="A24" s="557" t="s">
        <v>804</v>
      </c>
      <c r="B24" s="248"/>
      <c r="C24" s="248"/>
      <c r="D24" s="248"/>
      <c r="E24" s="248"/>
      <c r="F24" s="248"/>
      <c r="G24" s="248"/>
    </row>
    <row r="25" spans="1:7" x14ac:dyDescent="0.25">
      <c r="B25" s="598"/>
      <c r="C25" s="598"/>
      <c r="D25" s="598"/>
      <c r="E25" s="598"/>
      <c r="F25" s="598"/>
    </row>
    <row r="26" spans="1:7" x14ac:dyDescent="0.25">
      <c r="A26" s="599" t="str">
        <f>CONCATENATE("Well, let's look to see if any of your ",[1]inputPrYr!C6-1," expenditures can be reduced or eliminated.  For example,")</f>
        <v>Well, let's look to see if any of your 2023 expenditures can be reduced or eliminated.  For example,</v>
      </c>
      <c r="B26" s="598"/>
      <c r="C26" s="598"/>
      <c r="D26" s="598"/>
      <c r="E26" s="598"/>
      <c r="F26" s="598"/>
    </row>
    <row r="27" spans="1:7" x14ac:dyDescent="0.25">
      <c r="A27" s="599" t="s">
        <v>805</v>
      </c>
      <c r="B27" s="598"/>
      <c r="C27" s="598"/>
      <c r="D27" s="598"/>
      <c r="E27" s="598"/>
      <c r="F27" s="598"/>
    </row>
    <row r="28" spans="1:7" x14ac:dyDescent="0.25">
      <c r="A28" s="599" t="s">
        <v>806</v>
      </c>
      <c r="B28" s="598"/>
      <c r="C28" s="598"/>
      <c r="D28" s="598"/>
      <c r="E28" s="598"/>
      <c r="F28" s="598"/>
    </row>
    <row r="29" spans="1:7" x14ac:dyDescent="0.25">
      <c r="A29" s="599"/>
      <c r="B29" s="598"/>
      <c r="C29" s="598"/>
      <c r="D29" s="598"/>
      <c r="E29" s="598"/>
      <c r="F29" s="598"/>
    </row>
    <row r="30" spans="1:7" x14ac:dyDescent="0.25">
      <c r="A30" s="599" t="str">
        <f>CONCATENATE("Additionally, do your ",[1]inputPrYr!C6-1," receipts contain a reimbursement (e.g. FEMA)?  If so, instead of showing")</f>
        <v>Additionally, do your 2023 receipts contain a reimbursement (e.g. FEMA)?  If so, instead of showing</v>
      </c>
      <c r="B30" s="598"/>
      <c r="C30" s="598"/>
      <c r="D30" s="598"/>
      <c r="E30" s="598"/>
      <c r="F30" s="598"/>
    </row>
    <row r="31" spans="1:7" x14ac:dyDescent="0.25">
      <c r="A31" s="599" t="s">
        <v>807</v>
      </c>
      <c r="B31" s="598"/>
      <c r="C31" s="598"/>
      <c r="D31" s="598"/>
      <c r="E31" s="598"/>
      <c r="F31" s="598"/>
    </row>
    <row r="32" spans="1:7" x14ac:dyDescent="0.25">
      <c r="A32" s="599"/>
      <c r="B32" s="598"/>
      <c r="C32" s="598"/>
      <c r="D32" s="598"/>
      <c r="E32" s="598"/>
      <c r="F32" s="598"/>
    </row>
    <row r="33" spans="1:6" x14ac:dyDescent="0.25">
      <c r="A33" s="599" t="s">
        <v>808</v>
      </c>
      <c r="B33" s="598"/>
      <c r="C33" s="598"/>
      <c r="D33" s="598"/>
      <c r="E33" s="598"/>
      <c r="F33" s="598"/>
    </row>
    <row r="34" spans="1:6" x14ac:dyDescent="0.25">
      <c r="A34" s="599" t="s">
        <v>809</v>
      </c>
      <c r="B34" s="598"/>
      <c r="C34" s="598"/>
      <c r="D34" s="598"/>
      <c r="E34" s="598"/>
      <c r="F34" s="598"/>
    </row>
    <row r="35" spans="1:6" x14ac:dyDescent="0.25">
      <c r="A35" s="599" t="s">
        <v>810</v>
      </c>
      <c r="B35" s="598"/>
      <c r="C35" s="598"/>
      <c r="D35" s="598"/>
      <c r="E35" s="598"/>
      <c r="F35" s="598"/>
    </row>
    <row r="36" spans="1:6" x14ac:dyDescent="0.25">
      <c r="A36" s="599" t="s">
        <v>811</v>
      </c>
      <c r="B36" s="598"/>
      <c r="C36" s="598"/>
      <c r="D36" s="598"/>
      <c r="E36" s="598"/>
      <c r="F36" s="598"/>
    </row>
    <row r="37" spans="1:6" x14ac:dyDescent="0.25">
      <c r="A37" s="599" t="s">
        <v>290</v>
      </c>
      <c r="B37" s="598"/>
      <c r="C37" s="598"/>
      <c r="D37" s="598"/>
      <c r="E37" s="598"/>
      <c r="F37" s="598"/>
    </row>
    <row r="38" spans="1:6" x14ac:dyDescent="0.25">
      <c r="A38" s="599"/>
      <c r="B38" s="598"/>
      <c r="C38" s="598"/>
      <c r="D38" s="598"/>
      <c r="E38" s="598"/>
      <c r="F38" s="598"/>
    </row>
    <row r="39" spans="1:6" x14ac:dyDescent="0.25">
      <c r="A39" s="599" t="s">
        <v>750</v>
      </c>
      <c r="B39" s="598"/>
      <c r="C39" s="598"/>
      <c r="D39" s="598"/>
      <c r="E39" s="598"/>
      <c r="F39" s="598"/>
    </row>
    <row r="40" spans="1:6" x14ac:dyDescent="0.25">
      <c r="A40" s="599" t="s">
        <v>751</v>
      </c>
      <c r="B40" s="598"/>
      <c r="C40" s="598"/>
      <c r="D40" s="598"/>
      <c r="E40" s="598"/>
      <c r="F40" s="598"/>
    </row>
    <row r="41" spans="1:6" x14ac:dyDescent="0.25">
      <c r="A41" s="599"/>
      <c r="B41" s="598"/>
      <c r="C41" s="598"/>
      <c r="D41" s="598"/>
      <c r="E41" s="598"/>
      <c r="F41" s="598"/>
    </row>
    <row r="42" spans="1:6" x14ac:dyDescent="0.25">
      <c r="A42" s="599" t="s">
        <v>812</v>
      </c>
      <c r="B42" s="598"/>
      <c r="C42" s="598"/>
      <c r="D42" s="598"/>
      <c r="E42" s="598"/>
      <c r="F42" s="598"/>
    </row>
    <row r="43" spans="1:6" x14ac:dyDescent="0.25">
      <c r="A43" s="599" t="s">
        <v>813</v>
      </c>
      <c r="B43" s="598"/>
      <c r="C43" s="598"/>
      <c r="D43" s="598"/>
      <c r="E43" s="598"/>
      <c r="F43" s="598"/>
    </row>
    <row r="44" spans="1:6" x14ac:dyDescent="0.25">
      <c r="A44" s="599" t="s">
        <v>814</v>
      </c>
      <c r="B44" s="598"/>
      <c r="C44" s="598"/>
      <c r="D44" s="598"/>
      <c r="E44" s="598"/>
      <c r="F44" s="598"/>
    </row>
    <row r="45" spans="1:6" x14ac:dyDescent="0.25">
      <c r="A45" s="599"/>
      <c r="B45" s="598"/>
      <c r="C45" s="598"/>
      <c r="D45" s="598"/>
      <c r="E45" s="598"/>
      <c r="F45" s="598"/>
    </row>
    <row r="46" spans="1:6" x14ac:dyDescent="0.25">
      <c r="A46" s="599" t="s">
        <v>815</v>
      </c>
      <c r="B46" s="598"/>
      <c r="C46" s="598"/>
      <c r="D46" s="598"/>
      <c r="E46" s="598"/>
      <c r="F46" s="598"/>
    </row>
    <row r="47" spans="1:6" x14ac:dyDescent="0.25">
      <c r="A47" s="599" t="s">
        <v>816</v>
      </c>
      <c r="B47" s="598"/>
      <c r="C47" s="598"/>
      <c r="D47" s="598"/>
      <c r="E47" s="598"/>
      <c r="F47" s="598"/>
    </row>
    <row r="48" spans="1:6" x14ac:dyDescent="0.25">
      <c r="A48" s="599" t="s">
        <v>817</v>
      </c>
    </row>
    <row r="50" spans="1:1" x14ac:dyDescent="0.25">
      <c r="A50" s="1" t="s">
        <v>818</v>
      </c>
    </row>
    <row r="51" spans="1:1" x14ac:dyDescent="0.25">
      <c r="A51" s="1" t="s">
        <v>819</v>
      </c>
    </row>
    <row r="52" spans="1:1" x14ac:dyDescent="0.25">
      <c r="A52" s="1" t="s">
        <v>820</v>
      </c>
    </row>
    <row r="53" spans="1:1" x14ac:dyDescent="0.25">
      <c r="A53" s="1" t="s">
        <v>821</v>
      </c>
    </row>
    <row r="55" spans="1:1" x14ac:dyDescent="0.25">
      <c r="A55" s="1" t="s">
        <v>292</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9"/>
  <sheetViews>
    <sheetView workbookViewId="0">
      <selection sqref="A1:A2"/>
    </sheetView>
  </sheetViews>
  <sheetFormatPr defaultRowHeight="15.75" x14ac:dyDescent="0.25"/>
  <cols>
    <col min="1" max="1" width="66.77734375" style="1" customWidth="1"/>
  </cols>
  <sheetData>
    <row r="1" spans="1:7" ht="15.75" customHeight="1" x14ac:dyDescent="0.2">
      <c r="A1" s="780" t="s">
        <v>653</v>
      </c>
    </row>
    <row r="2" spans="1:7" ht="15.75" customHeight="1" x14ac:dyDescent="0.2">
      <c r="A2" s="780"/>
    </row>
    <row r="3" spans="1:7" x14ac:dyDescent="0.25">
      <c r="A3" s="555" t="s">
        <v>300</v>
      </c>
      <c r="B3" s="597"/>
      <c r="C3" s="597"/>
      <c r="D3" s="597"/>
      <c r="E3" s="597"/>
      <c r="F3" s="597"/>
      <c r="G3" s="597"/>
    </row>
    <row r="4" spans="1:7" x14ac:dyDescent="0.25">
      <c r="A4" s="555"/>
      <c r="B4" s="597"/>
      <c r="C4" s="597"/>
      <c r="D4" s="597"/>
      <c r="E4" s="597"/>
      <c r="F4" s="597"/>
      <c r="G4" s="597"/>
    </row>
    <row r="5" spans="1:7" x14ac:dyDescent="0.25">
      <c r="A5" s="1" t="str">
        <f>CONCATENATE("Welcome.  You have been directed to this tab because your ",[1]inputPrYr!C6," estimated expenditures show")</f>
        <v>Welcome.  You have been directed to this tab because your 2024 estimated expenditures show</v>
      </c>
    </row>
    <row r="6" spans="1:7" x14ac:dyDescent="0.25">
      <c r="A6" s="1" t="s">
        <v>822</v>
      </c>
    </row>
    <row r="8" spans="1:7" x14ac:dyDescent="0.25">
      <c r="A8" s="1" t="s">
        <v>767</v>
      </c>
    </row>
    <row r="9" spans="1:7" x14ac:dyDescent="0.25">
      <c r="A9" s="1" t="s">
        <v>296</v>
      </c>
    </row>
    <row r="10" spans="1:7" x14ac:dyDescent="0.25">
      <c r="A10" s="555"/>
      <c r="B10" s="597"/>
      <c r="C10" s="597"/>
      <c r="D10" s="597"/>
      <c r="E10" s="597"/>
      <c r="F10" s="597"/>
      <c r="G10" s="597"/>
    </row>
    <row r="11" spans="1:7" x14ac:dyDescent="0.25">
      <c r="A11" s="557" t="s">
        <v>302</v>
      </c>
    </row>
    <row r="13" spans="1:7" x14ac:dyDescent="0.25">
      <c r="A13" s="1" t="s">
        <v>823</v>
      </c>
    </row>
    <row r="14" spans="1:7" x14ac:dyDescent="0.25">
      <c r="A14" s="1" t="s">
        <v>303</v>
      </c>
    </row>
    <row r="16" spans="1:7" x14ac:dyDescent="0.25">
      <c r="A16" s="1" t="s">
        <v>824</v>
      </c>
    </row>
    <row r="17" spans="1:7" x14ac:dyDescent="0.25">
      <c r="A17" s="1" t="s">
        <v>825</v>
      </c>
    </row>
    <row r="19" spans="1:7" x14ac:dyDescent="0.25">
      <c r="A19" s="557" t="s">
        <v>299</v>
      </c>
    </row>
    <row r="20" spans="1:7" x14ac:dyDescent="0.25">
      <c r="A20" s="557"/>
    </row>
    <row r="21" spans="1:7" x14ac:dyDescent="0.25">
      <c r="A21" s="1" t="s">
        <v>826</v>
      </c>
    </row>
    <row r="22" spans="1:7" x14ac:dyDescent="0.25">
      <c r="A22" s="1" t="s">
        <v>827</v>
      </c>
      <c r="B22" s="598"/>
      <c r="C22" s="598"/>
      <c r="D22" s="598"/>
      <c r="E22" s="598"/>
      <c r="F22" s="598"/>
    </row>
    <row r="23" spans="1:7" x14ac:dyDescent="0.25">
      <c r="B23" s="598"/>
      <c r="C23" s="598"/>
      <c r="D23" s="598"/>
      <c r="E23" s="598"/>
      <c r="F23" s="598"/>
    </row>
    <row r="25" spans="1:7" x14ac:dyDescent="0.25">
      <c r="A25" s="557" t="s">
        <v>804</v>
      </c>
      <c r="B25" s="248"/>
      <c r="C25" s="248"/>
      <c r="D25" s="248"/>
      <c r="E25" s="248"/>
      <c r="F25" s="248"/>
      <c r="G25" s="248"/>
    </row>
    <row r="26" spans="1:7" x14ac:dyDescent="0.25">
      <c r="A26" s="557"/>
      <c r="B26" s="248"/>
      <c r="C26" s="248"/>
      <c r="D26" s="248"/>
      <c r="E26" s="248"/>
      <c r="F26" s="248"/>
      <c r="G26" s="248"/>
    </row>
    <row r="27" spans="1:7" x14ac:dyDescent="0.25">
      <c r="A27" s="1" t="s">
        <v>828</v>
      </c>
      <c r="B27" s="598"/>
      <c r="C27" s="598"/>
      <c r="D27" s="598"/>
      <c r="E27" s="598"/>
      <c r="F27" s="598"/>
      <c r="G27" s="598"/>
    </row>
    <row r="28" spans="1:7" x14ac:dyDescent="0.25">
      <c r="A28" s="1" t="s">
        <v>829</v>
      </c>
      <c r="B28" s="598"/>
      <c r="C28" s="598"/>
      <c r="D28" s="598"/>
      <c r="E28" s="598"/>
      <c r="F28" s="598"/>
      <c r="G28" s="598"/>
    </row>
    <row r="29" spans="1:7" x14ac:dyDescent="0.25">
      <c r="A29" s="1" t="s">
        <v>830</v>
      </c>
      <c r="B29" s="598"/>
      <c r="C29" s="598"/>
      <c r="D29" s="598"/>
      <c r="E29" s="598"/>
      <c r="F29" s="598"/>
      <c r="G29" s="598"/>
    </row>
    <row r="30" spans="1:7" x14ac:dyDescent="0.25">
      <c r="A30" s="557"/>
      <c r="B30" s="248"/>
      <c r="C30" s="248"/>
      <c r="D30" s="248"/>
      <c r="E30" s="248"/>
      <c r="F30" s="248"/>
      <c r="G30" s="248"/>
    </row>
    <row r="31" spans="1:7" x14ac:dyDescent="0.25">
      <c r="A31" s="599" t="str">
        <f>CONCATENATE("So, let's look to see if any of your ",[1]inputPrYr!C6-1," expenditures can be reduced or eliminated. For example,")</f>
        <v>So, let's look to see if any of your 2023 expenditures can be reduced or eliminated. For example,</v>
      </c>
      <c r="B31" s="598"/>
      <c r="C31" s="598"/>
      <c r="D31" s="598"/>
      <c r="E31" s="598"/>
      <c r="F31" s="598"/>
    </row>
    <row r="32" spans="1:7" x14ac:dyDescent="0.25">
      <c r="A32" s="599" t="s">
        <v>743</v>
      </c>
      <c r="B32" s="598"/>
      <c r="C32" s="598"/>
      <c r="D32" s="598"/>
      <c r="E32" s="598"/>
      <c r="F32" s="598"/>
    </row>
    <row r="33" spans="1:7" x14ac:dyDescent="0.25">
      <c r="A33" s="599" t="s">
        <v>744</v>
      </c>
      <c r="B33" s="598"/>
      <c r="C33" s="598"/>
      <c r="D33" s="598"/>
      <c r="E33" s="598"/>
      <c r="F33" s="598"/>
    </row>
    <row r="35" spans="1:7" x14ac:dyDescent="0.25">
      <c r="A35" s="599" t="str">
        <f>CONCATENATE("Additionally, do your ",[1]inputPrYr!C6-1," receipts contain a reimbursement (e.g. FEMA)?  If so, instead of")</f>
        <v>Additionally, do your 2023 receipts contain a reimbursement (e.g. FEMA)?  If so, instead of</v>
      </c>
      <c r="B35" s="598"/>
      <c r="C35" s="598"/>
      <c r="D35" s="598"/>
      <c r="E35" s="598"/>
      <c r="F35" s="598"/>
    </row>
    <row r="36" spans="1:7" x14ac:dyDescent="0.25">
      <c r="A36" s="599" t="s">
        <v>831</v>
      </c>
      <c r="B36" s="598"/>
      <c r="C36" s="598"/>
      <c r="D36" s="598"/>
      <c r="E36" s="598"/>
      <c r="F36" s="598"/>
    </row>
    <row r="37" spans="1:7" x14ac:dyDescent="0.25">
      <c r="B37" s="598"/>
      <c r="C37" s="598"/>
      <c r="D37" s="598"/>
      <c r="E37" s="598"/>
      <c r="F37" s="598"/>
      <c r="G37" s="598"/>
    </row>
    <row r="38" spans="1:7" x14ac:dyDescent="0.25">
      <c r="A38" s="1" t="s">
        <v>832</v>
      </c>
      <c r="B38" s="598"/>
      <c r="C38" s="598"/>
      <c r="D38" s="598"/>
      <c r="E38" s="598"/>
      <c r="F38" s="598"/>
      <c r="G38" s="598"/>
    </row>
    <row r="39" spans="1:7" x14ac:dyDescent="0.25">
      <c r="A39" s="1" t="s">
        <v>833</v>
      </c>
      <c r="B39" s="598"/>
      <c r="C39" s="598"/>
      <c r="D39" s="598"/>
      <c r="E39" s="598"/>
      <c r="F39" s="598"/>
      <c r="G39" s="598"/>
    </row>
    <row r="40" spans="1:7" x14ac:dyDescent="0.25">
      <c r="A40" s="1" t="s">
        <v>834</v>
      </c>
      <c r="B40" s="598"/>
      <c r="C40" s="598"/>
      <c r="D40" s="598"/>
      <c r="E40" s="598"/>
      <c r="F40" s="598"/>
      <c r="G40" s="598"/>
    </row>
    <row r="41" spans="1:7" x14ac:dyDescent="0.25">
      <c r="B41" s="598"/>
      <c r="C41" s="598"/>
      <c r="D41" s="598"/>
      <c r="E41" s="598"/>
      <c r="F41" s="598"/>
      <c r="G41" s="598"/>
    </row>
    <row r="42" spans="1:7" x14ac:dyDescent="0.25">
      <c r="A42" s="599" t="s">
        <v>750</v>
      </c>
      <c r="B42" s="598"/>
      <c r="C42" s="598"/>
      <c r="D42" s="598"/>
      <c r="E42" s="598"/>
      <c r="F42" s="598"/>
    </row>
    <row r="43" spans="1:7" x14ac:dyDescent="0.25">
      <c r="A43" s="599" t="s">
        <v>751</v>
      </c>
      <c r="B43" s="598"/>
      <c r="C43" s="598"/>
      <c r="D43" s="598"/>
      <c r="E43" s="598"/>
      <c r="F43" s="598"/>
    </row>
    <row r="44" spans="1:7" x14ac:dyDescent="0.25">
      <c r="A44" s="599"/>
      <c r="B44" s="598"/>
      <c r="C44" s="598"/>
      <c r="D44" s="598"/>
      <c r="E44" s="598"/>
      <c r="F44" s="598"/>
    </row>
    <row r="45" spans="1:7" x14ac:dyDescent="0.25">
      <c r="A45" s="1" t="s">
        <v>835</v>
      </c>
      <c r="B45" s="598"/>
      <c r="C45" s="598"/>
      <c r="D45" s="598"/>
      <c r="E45" s="598"/>
      <c r="F45" s="598"/>
      <c r="G45" s="598"/>
    </row>
    <row r="46" spans="1:7" x14ac:dyDescent="0.25">
      <c r="A46" s="1" t="s">
        <v>836</v>
      </c>
      <c r="B46" s="598"/>
      <c r="C46" s="598"/>
      <c r="D46" s="598"/>
      <c r="E46" s="598"/>
      <c r="F46" s="598"/>
      <c r="G46" s="598"/>
    </row>
    <row r="47" spans="1:7" x14ac:dyDescent="0.25">
      <c r="A47" s="1" t="s">
        <v>837</v>
      </c>
      <c r="B47" s="598"/>
      <c r="C47" s="598"/>
      <c r="D47" s="598"/>
      <c r="E47" s="598"/>
      <c r="F47" s="598"/>
      <c r="G47" s="598"/>
    </row>
    <row r="49" spans="1:6" x14ac:dyDescent="0.25">
      <c r="A49" s="599" t="s">
        <v>812</v>
      </c>
      <c r="B49" s="598"/>
      <c r="C49" s="598"/>
      <c r="D49" s="598"/>
      <c r="E49" s="598"/>
      <c r="F49" s="598"/>
    </row>
    <row r="50" spans="1:6" x14ac:dyDescent="0.25">
      <c r="A50" s="599" t="s">
        <v>838</v>
      </c>
      <c r="B50" s="598"/>
      <c r="C50" s="598"/>
      <c r="D50" s="598"/>
      <c r="E50" s="598"/>
      <c r="F50" s="598"/>
    </row>
    <row r="51" spans="1:6" x14ac:dyDescent="0.25">
      <c r="A51" s="599" t="s">
        <v>839</v>
      </c>
      <c r="B51" s="598"/>
      <c r="C51" s="598"/>
      <c r="D51" s="598"/>
      <c r="E51" s="598"/>
      <c r="F51" s="598"/>
    </row>
    <row r="53" spans="1:6" x14ac:dyDescent="0.25">
      <c r="A53" s="1" t="s">
        <v>292</v>
      </c>
    </row>
    <row r="59" spans="1:6" x14ac:dyDescent="0.25">
      <c r="A59" s="557"/>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
  <sheetViews>
    <sheetView workbookViewId="0">
      <selection sqref="A1:A2"/>
    </sheetView>
  </sheetViews>
  <sheetFormatPr defaultRowHeight="15.75" x14ac:dyDescent="0.25"/>
  <cols>
    <col min="1" max="1" width="66.77734375" style="1" customWidth="1"/>
  </cols>
  <sheetData>
    <row r="1" spans="1:7" ht="15.75" customHeight="1" x14ac:dyDescent="0.2">
      <c r="A1" s="780" t="s">
        <v>649</v>
      </c>
    </row>
    <row r="2" spans="1:7" ht="15.75" customHeight="1" x14ac:dyDescent="0.2">
      <c r="A2" s="780"/>
    </row>
    <row r="3" spans="1:7" x14ac:dyDescent="0.25">
      <c r="A3" s="555" t="s">
        <v>840</v>
      </c>
      <c r="B3" s="597"/>
      <c r="C3" s="597"/>
      <c r="D3" s="597"/>
      <c r="E3" s="597"/>
      <c r="F3" s="597"/>
      <c r="G3" s="597"/>
    </row>
    <row r="4" spans="1:7" x14ac:dyDescent="0.25">
      <c r="A4" s="555"/>
      <c r="B4" s="597"/>
      <c r="C4" s="597"/>
      <c r="D4" s="597"/>
      <c r="E4" s="597"/>
      <c r="F4" s="597"/>
      <c r="G4" s="597"/>
    </row>
    <row r="5" spans="1:7" x14ac:dyDescent="0.25">
      <c r="A5" s="555"/>
      <c r="B5" s="597"/>
      <c r="C5" s="597"/>
      <c r="D5" s="597"/>
      <c r="E5" s="597"/>
      <c r="F5" s="597"/>
      <c r="G5" s="597"/>
    </row>
    <row r="6" spans="1:7" x14ac:dyDescent="0.25">
      <c r="A6" s="1" t="str">
        <f>CONCATENATE("Welcome. You have been directed to this tab because your estimated ",[1]inputPrYr!C6," total expenditures")</f>
        <v>Welcome. You have been directed to this tab because your estimated 2024 total expenditures</v>
      </c>
    </row>
    <row r="7" spans="1:7" x14ac:dyDescent="0.25">
      <c r="A7" s="1" t="str">
        <f>CONCATENATE("your ",[1]inputPrYr!C6," unemcumbered cash balance Dec 31.")</f>
        <v>your 2024 unemcumbered cash balance Dec 31.</v>
      </c>
    </row>
    <row r="9" spans="1:7" x14ac:dyDescent="0.25">
      <c r="A9" s="1" t="s">
        <v>841</v>
      </c>
    </row>
    <row r="10" spans="1:7" x14ac:dyDescent="0.25">
      <c r="A10" s="1" t="s">
        <v>842</v>
      </c>
    </row>
    <row r="12" spans="1:7" x14ac:dyDescent="0.25">
      <c r="A12" s="557" t="s">
        <v>304</v>
      </c>
    </row>
    <row r="13" spans="1:7" x14ac:dyDescent="0.25">
      <c r="A13" s="555"/>
      <c r="B13" s="597"/>
      <c r="C13" s="597"/>
      <c r="D13" s="597"/>
      <c r="E13" s="597"/>
      <c r="F13" s="597"/>
      <c r="G13" s="597"/>
    </row>
    <row r="14" spans="1:7" x14ac:dyDescent="0.25">
      <c r="A14" s="1" t="s">
        <v>843</v>
      </c>
    </row>
    <row r="15" spans="1:7" x14ac:dyDescent="0.25">
      <c r="A15" s="1" t="s">
        <v>844</v>
      </c>
    </row>
    <row r="17" spans="1:1" x14ac:dyDescent="0.25">
      <c r="A17" s="557" t="s">
        <v>305</v>
      </c>
    </row>
    <row r="19" spans="1:1" x14ac:dyDescent="0.25">
      <c r="A19" s="1" t="s">
        <v>845</v>
      </c>
    </row>
    <row r="20" spans="1:1" x14ac:dyDescent="0.25">
      <c r="A20" s="1" t="s">
        <v>846</v>
      </c>
    </row>
    <row r="22" spans="1:1" x14ac:dyDescent="0.25">
      <c r="A22" s="557" t="s">
        <v>306</v>
      </c>
    </row>
    <row r="24" spans="1:1" x14ac:dyDescent="0.25">
      <c r="A24" s="1" t="s">
        <v>847</v>
      </c>
    </row>
    <row r="25" spans="1:1" x14ac:dyDescent="0.25">
      <c r="A25" s="1" t="s">
        <v>848</v>
      </c>
    </row>
    <row r="26" spans="1:1" x14ac:dyDescent="0.25">
      <c r="A26" s="1" t="s">
        <v>849</v>
      </c>
    </row>
    <row r="28" spans="1:1" x14ac:dyDescent="0.25">
      <c r="A28" s="1" t="s">
        <v>850</v>
      </c>
    </row>
    <row r="29" spans="1:1" x14ac:dyDescent="0.25">
      <c r="A29" s="1" t="s">
        <v>851</v>
      </c>
    </row>
    <row r="30" spans="1:1" x14ac:dyDescent="0.25">
      <c r="A30" s="1" t="s">
        <v>852</v>
      </c>
    </row>
    <row r="32" spans="1:1" x14ac:dyDescent="0.25">
      <c r="A32" s="1" t="s">
        <v>853</v>
      </c>
    </row>
    <row r="33" spans="1:1" x14ac:dyDescent="0.25">
      <c r="A33" s="1" t="s">
        <v>854</v>
      </c>
    </row>
    <row r="34" spans="1:1" x14ac:dyDescent="0.25">
      <c r="A34" s="1" t="s">
        <v>855</v>
      </c>
    </row>
    <row r="36" spans="1:1" x14ac:dyDescent="0.25">
      <c r="A36" s="1" t="s">
        <v>856</v>
      </c>
    </row>
    <row r="37" spans="1:1" x14ac:dyDescent="0.25">
      <c r="A37" s="1" t="s">
        <v>857</v>
      </c>
    </row>
    <row r="39" spans="1:1" x14ac:dyDescent="0.25">
      <c r="A39" s="1" t="s">
        <v>292</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5"/>
  <sheetViews>
    <sheetView workbookViewId="0">
      <selection sqref="A1:A2"/>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600" t="s">
        <v>564</v>
      </c>
    </row>
    <row r="4" spans="1:5" ht="9.75" customHeight="1" x14ac:dyDescent="0.55000000000000004">
      <c r="B4" s="601"/>
    </row>
    <row r="5" spans="1:5" ht="15.75" x14ac:dyDescent="0.2">
      <c r="B5" s="602" t="s">
        <v>858</v>
      </c>
    </row>
    <row r="6" spans="1:5" ht="8.1" customHeight="1" x14ac:dyDescent="0.2">
      <c r="B6" s="602"/>
    </row>
    <row r="7" spans="1:5" ht="15.75" x14ac:dyDescent="0.2">
      <c r="B7" s="602" t="s">
        <v>859</v>
      </c>
    </row>
    <row r="8" spans="1:5" ht="15.75" x14ac:dyDescent="0.2">
      <c r="B8" s="603" t="s">
        <v>860</v>
      </c>
    </row>
    <row r="9" spans="1:5" ht="8.1" customHeight="1" x14ac:dyDescent="0.2">
      <c r="B9" s="603"/>
    </row>
    <row r="10" spans="1:5" ht="15.75" x14ac:dyDescent="0.2">
      <c r="C10" s="604" t="s">
        <v>861</v>
      </c>
      <c r="D10" s="602" t="s">
        <v>862</v>
      </c>
    </row>
    <row r="11" spans="1:5" ht="15.75" customHeight="1" x14ac:dyDescent="0.2">
      <c r="B11" s="602"/>
      <c r="D11" s="602" t="s">
        <v>863</v>
      </c>
    </row>
    <row r="12" spans="1:5" ht="15.75" customHeight="1" x14ac:dyDescent="0.2">
      <c r="B12" s="602"/>
      <c r="D12" s="602"/>
    </row>
    <row r="13" spans="1:5" ht="15.75" customHeight="1" x14ac:dyDescent="0.2">
      <c r="B13" s="602" t="s">
        <v>864</v>
      </c>
      <c r="E13" s="602" t="s">
        <v>865</v>
      </c>
    </row>
    <row r="14" spans="1:5" ht="15.75" customHeight="1" x14ac:dyDescent="0.2">
      <c r="B14" s="602"/>
      <c r="E14" s="602" t="s">
        <v>866</v>
      </c>
    </row>
    <row r="15" spans="1:5" ht="15.75" customHeight="1" x14ac:dyDescent="0.2">
      <c r="B15" s="602"/>
      <c r="E15" s="602" t="s">
        <v>867</v>
      </c>
    </row>
    <row r="16" spans="1:5" ht="15.75" customHeight="1" x14ac:dyDescent="0.2">
      <c r="B16" s="602"/>
      <c r="E16" s="602" t="s">
        <v>868</v>
      </c>
    </row>
    <row r="17" spans="2:5" ht="15.75" customHeight="1" x14ac:dyDescent="0.2">
      <c r="B17" s="602"/>
      <c r="E17" s="602"/>
    </row>
    <row r="18" spans="2:5" ht="15.75" customHeight="1" x14ac:dyDescent="0.2">
      <c r="B18" s="602"/>
      <c r="E18" s="602"/>
    </row>
    <row r="19" spans="2:5" ht="15.75" customHeight="1" x14ac:dyDescent="0.2">
      <c r="B19" s="602"/>
      <c r="E19" s="602"/>
    </row>
    <row r="20" spans="2:5" ht="15.75" customHeight="1" x14ac:dyDescent="0.2">
      <c r="B20" s="602"/>
      <c r="E20" s="602"/>
    </row>
    <row r="21" spans="2:5" ht="15.75" customHeight="1" x14ac:dyDescent="0.2">
      <c r="B21" s="602"/>
      <c r="E21" s="602"/>
    </row>
    <row r="22" spans="2:5" ht="15.75" customHeight="1" x14ac:dyDescent="0.2">
      <c r="B22" s="602"/>
      <c r="E22" s="602"/>
    </row>
    <row r="23" spans="2:5" ht="15.75" customHeight="1" x14ac:dyDescent="0.2">
      <c r="B23" s="602"/>
      <c r="E23" s="602"/>
    </row>
    <row r="24" spans="2:5" ht="15.75" customHeight="1" x14ac:dyDescent="0.2">
      <c r="B24" s="602"/>
      <c r="E24" s="602"/>
    </row>
    <row r="25" spans="2:5" ht="15.75" customHeight="1" x14ac:dyDescent="0.2">
      <c r="B25" s="602"/>
      <c r="E25" s="602"/>
    </row>
    <row r="26" spans="2:5" ht="15.75" customHeight="1" x14ac:dyDescent="0.2">
      <c r="B26" s="602"/>
      <c r="E26" s="602"/>
    </row>
    <row r="27" spans="2:5" ht="15.75" customHeight="1" x14ac:dyDescent="0.2">
      <c r="B27" s="602"/>
      <c r="E27" s="602"/>
    </row>
    <row r="28" spans="2:5" ht="15.75" customHeight="1" x14ac:dyDescent="0.2">
      <c r="B28" s="602"/>
      <c r="E28" s="602"/>
    </row>
    <row r="29" spans="2:5" ht="15.75" customHeight="1" x14ac:dyDescent="0.2">
      <c r="B29" s="602"/>
      <c r="E29" s="602"/>
    </row>
    <row r="30" spans="2:5" ht="15.75" customHeight="1" x14ac:dyDescent="0.2">
      <c r="B30" s="602"/>
      <c r="E30" s="602"/>
    </row>
    <row r="31" spans="2:5" ht="15.75" customHeight="1" x14ac:dyDescent="0.2">
      <c r="B31" s="602"/>
      <c r="E31" s="602"/>
    </row>
    <row r="32" spans="2:5" ht="15.75" customHeight="1" x14ac:dyDescent="0.2">
      <c r="B32" s="602"/>
      <c r="E32" s="602"/>
    </row>
    <row r="33" spans="2:5" ht="15.75" customHeight="1" x14ac:dyDescent="0.2">
      <c r="B33" s="602"/>
      <c r="E33" s="602"/>
    </row>
    <row r="34" spans="2:5" ht="15.75" customHeight="1" x14ac:dyDescent="0.2">
      <c r="B34" s="602"/>
      <c r="E34" s="602"/>
    </row>
    <row r="35" spans="2:5" ht="15.75" customHeight="1" x14ac:dyDescent="0.2">
      <c r="B35" s="602"/>
      <c r="E35" s="602"/>
    </row>
    <row r="36" spans="2:5" ht="15.75" customHeight="1" x14ac:dyDescent="0.2">
      <c r="B36" s="602" t="s">
        <v>869</v>
      </c>
      <c r="D36" s="602"/>
      <c r="E36" s="602" t="s">
        <v>870</v>
      </c>
    </row>
    <row r="37" spans="2:5" ht="15.75" customHeight="1" x14ac:dyDescent="0.2">
      <c r="B37" s="602"/>
      <c r="D37" s="602"/>
      <c r="E37" s="602" t="s">
        <v>871</v>
      </c>
    </row>
    <row r="38" spans="2:5" ht="15.75" customHeight="1" x14ac:dyDescent="0.2">
      <c r="B38" s="602"/>
      <c r="D38" s="602"/>
      <c r="E38" s="602" t="s">
        <v>872</v>
      </c>
    </row>
    <row r="39" spans="2:5" ht="15.75" customHeight="1" x14ac:dyDescent="0.2">
      <c r="B39" s="602"/>
      <c r="D39" s="602"/>
      <c r="E39" s="602" t="s">
        <v>873</v>
      </c>
    </row>
    <row r="40" spans="2:5" ht="15.75" customHeight="1" x14ac:dyDescent="0.2"/>
    <row r="41" spans="2:5" ht="15.75" customHeight="1" x14ac:dyDescent="0.2">
      <c r="B41" s="602" t="s">
        <v>564</v>
      </c>
      <c r="E41" s="605" t="s">
        <v>874</v>
      </c>
    </row>
    <row r="42" spans="2:5" ht="15.75" customHeight="1" x14ac:dyDescent="0.2">
      <c r="B42" s="602"/>
      <c r="E42" s="605"/>
    </row>
    <row r="43" spans="2:5" ht="15.75" customHeight="1" x14ac:dyDescent="0.2">
      <c r="E43" s="605"/>
    </row>
    <row r="44" spans="2:5" ht="15.75" customHeight="1" x14ac:dyDescent="0.2">
      <c r="B44" s="602" t="s">
        <v>875</v>
      </c>
      <c r="D44" s="602"/>
      <c r="E44" s="605" t="s">
        <v>876</v>
      </c>
    </row>
    <row r="45" spans="2:5" ht="15.75" customHeight="1" x14ac:dyDescent="0.2">
      <c r="B45" s="602"/>
      <c r="D45" s="602"/>
      <c r="E45" s="602"/>
    </row>
    <row r="46" spans="2:5" ht="15.75" customHeight="1" x14ac:dyDescent="0.2">
      <c r="B46" s="602"/>
      <c r="D46" s="602"/>
    </row>
    <row r="47" spans="2:5" ht="15.75" customHeight="1" x14ac:dyDescent="0.2">
      <c r="B47" s="602"/>
      <c r="D47" s="602"/>
    </row>
    <row r="48" spans="2:5" ht="15.75" customHeight="1" x14ac:dyDescent="0.2">
      <c r="B48" s="602"/>
      <c r="D48" s="602"/>
    </row>
    <row r="49" spans="1:14" ht="15.75" customHeight="1" x14ac:dyDescent="0.2">
      <c r="B49" s="602"/>
      <c r="D49" s="602"/>
    </row>
    <row r="50" spans="1:14" ht="15.75" customHeight="1" x14ac:dyDescent="0.2">
      <c r="B50" s="602"/>
      <c r="D50" s="602"/>
    </row>
    <row r="51" spans="1:14" ht="15.75" customHeight="1" x14ac:dyDescent="0.2">
      <c r="B51" s="602"/>
      <c r="D51" s="602"/>
    </row>
    <row r="52" spans="1:14" ht="15.75" customHeight="1" x14ac:dyDescent="0.2">
      <c r="B52" s="602"/>
      <c r="D52" s="602"/>
    </row>
    <row r="53" spans="1:14" ht="15.75" customHeight="1" x14ac:dyDescent="0.2">
      <c r="B53" s="602"/>
      <c r="D53" s="602"/>
    </row>
    <row r="54" spans="1:14" ht="15.75" customHeight="1" x14ac:dyDescent="0.2">
      <c r="B54" s="602"/>
      <c r="D54" s="602"/>
    </row>
    <row r="55" spans="1:14" ht="15.75" customHeight="1" x14ac:dyDescent="0.2">
      <c r="B55" s="602"/>
    </row>
    <row r="56" spans="1:14" ht="15.75" customHeight="1" x14ac:dyDescent="0.2">
      <c r="B56" s="602"/>
    </row>
    <row r="57" spans="1:14" ht="15.75" customHeight="1" x14ac:dyDescent="0.2">
      <c r="B57" s="602"/>
    </row>
    <row r="58" spans="1:14" ht="15.75" customHeight="1" x14ac:dyDescent="0.2">
      <c r="B58" s="602"/>
    </row>
    <row r="59" spans="1:14" ht="3" customHeight="1" x14ac:dyDescent="0.2">
      <c r="A59" s="606"/>
      <c r="B59" s="607"/>
      <c r="C59" s="606"/>
      <c r="D59" s="606"/>
      <c r="E59" s="606"/>
      <c r="F59" s="606"/>
      <c r="G59" s="606"/>
      <c r="H59" s="606"/>
      <c r="I59" s="606"/>
      <c r="J59" s="606"/>
      <c r="K59" s="606"/>
      <c r="L59" s="606"/>
      <c r="M59" s="606"/>
      <c r="N59" s="606"/>
    </row>
    <row r="60" spans="1:14" ht="15.75" customHeight="1" x14ac:dyDescent="0.2">
      <c r="B60" s="602"/>
    </row>
    <row r="61" spans="1:14" ht="15.75" customHeight="1" x14ac:dyDescent="0.25">
      <c r="A61" s="781" t="s">
        <v>516</v>
      </c>
      <c r="B61" s="781"/>
      <c r="C61" s="781"/>
      <c r="D61" s="781"/>
      <c r="E61" s="781"/>
      <c r="F61" s="781"/>
      <c r="G61" s="781"/>
      <c r="H61" s="781"/>
      <c r="I61" s="781"/>
      <c r="J61" s="781"/>
      <c r="K61" s="608"/>
    </row>
    <row r="62" spans="1:14" ht="21.75" customHeight="1" x14ac:dyDescent="0.25">
      <c r="A62" s="781"/>
      <c r="B62" s="781"/>
      <c r="C62" s="781"/>
      <c r="D62" s="781"/>
      <c r="E62" s="781"/>
      <c r="F62" s="781"/>
      <c r="G62" s="781"/>
      <c r="H62" s="781"/>
      <c r="I62" s="781"/>
      <c r="J62" s="781"/>
      <c r="K62" s="608"/>
    </row>
    <row r="63" spans="1:14" ht="15.75" customHeight="1" x14ac:dyDescent="0.2">
      <c r="B63" s="602"/>
    </row>
    <row r="64" spans="1:14" ht="15.75" x14ac:dyDescent="0.2">
      <c r="B64" s="602"/>
    </row>
    <row r="65" spans="2:2" ht="18.75" customHeight="1" x14ac:dyDescent="0.2">
      <c r="B65" s="602"/>
    </row>
    <row r="66" spans="2:2" ht="13.5" customHeight="1" x14ac:dyDescent="0.2">
      <c r="B66" s="602"/>
    </row>
    <row r="67" spans="2:2" ht="15.75" x14ac:dyDescent="0.2">
      <c r="B67" s="602"/>
    </row>
    <row r="82" spans="12:12" x14ac:dyDescent="0.2">
      <c r="L82" s="609"/>
    </row>
    <row r="214" spans="1:14" ht="3" customHeight="1" x14ac:dyDescent="0.2">
      <c r="A214" s="606"/>
      <c r="B214" s="607"/>
      <c r="C214" s="606"/>
      <c r="D214" s="606"/>
      <c r="E214" s="606"/>
      <c r="F214" s="606"/>
      <c r="G214" s="606"/>
      <c r="H214" s="606"/>
      <c r="I214" s="606"/>
      <c r="J214" s="606"/>
      <c r="K214" s="606"/>
      <c r="L214" s="606"/>
      <c r="M214" s="606"/>
      <c r="N214" s="606"/>
    </row>
    <row r="217" spans="1:14" ht="18" x14ac:dyDescent="0.25">
      <c r="A217" s="610" t="s">
        <v>325</v>
      </c>
      <c r="B217" s="611"/>
    </row>
    <row r="218" spans="1:14" ht="15.75" x14ac:dyDescent="0.25">
      <c r="B218" s="1"/>
    </row>
    <row r="219" spans="1:14" ht="30" customHeight="1" x14ac:dyDescent="0.25">
      <c r="B219" s="761" t="s">
        <v>326</v>
      </c>
      <c r="C219" s="761"/>
      <c r="D219" s="761"/>
      <c r="E219" s="761"/>
      <c r="F219" s="761"/>
      <c r="G219" s="761"/>
      <c r="H219" s="761"/>
      <c r="I219" s="761"/>
      <c r="J219" s="294"/>
    </row>
    <row r="220" spans="1:14" ht="15.75" x14ac:dyDescent="0.25">
      <c r="B220" s="612" t="s">
        <v>663</v>
      </c>
    </row>
    <row r="221" spans="1:14" ht="15.75" x14ac:dyDescent="0.25">
      <c r="B221" s="1"/>
    </row>
    <row r="222" spans="1:14" ht="45.75" customHeight="1" x14ac:dyDescent="0.25">
      <c r="B222" s="761" t="s">
        <v>327</v>
      </c>
      <c r="C222" s="761"/>
      <c r="D222" s="761"/>
      <c r="E222" s="761"/>
      <c r="F222" s="761"/>
      <c r="G222" s="761"/>
      <c r="H222" s="761"/>
    </row>
    <row r="223" spans="1:14" ht="15.75" x14ac:dyDescent="0.25">
      <c r="B223" s="612" t="s">
        <v>664</v>
      </c>
    </row>
    <row r="224" spans="1:14" ht="15.75" x14ac:dyDescent="0.25">
      <c r="B224" s="1"/>
    </row>
    <row r="225" spans="2:2" ht="15.75" x14ac:dyDescent="0.25">
      <c r="B225" s="1" t="s">
        <v>665</v>
      </c>
    </row>
    <row r="226" spans="2:2" ht="15.75" x14ac:dyDescent="0.25">
      <c r="B226" s="612" t="s">
        <v>666</v>
      </c>
    </row>
    <row r="227" spans="2:2" ht="15.75" x14ac:dyDescent="0.25">
      <c r="B227" s="1"/>
    </row>
    <row r="228" spans="2:2" ht="15.75" x14ac:dyDescent="0.25">
      <c r="B228" s="1" t="s">
        <v>328</v>
      </c>
    </row>
    <row r="229" spans="2:2" ht="15.75" x14ac:dyDescent="0.25">
      <c r="B229" s="612" t="s">
        <v>667</v>
      </c>
    </row>
    <row r="230" spans="2:2" ht="15.75" x14ac:dyDescent="0.25">
      <c r="B230" s="1"/>
    </row>
    <row r="231" spans="2:2" ht="15.75" x14ac:dyDescent="0.25">
      <c r="B231" s="1" t="s">
        <v>329</v>
      </c>
    </row>
    <row r="232" spans="2:2" ht="15.75" x14ac:dyDescent="0.25">
      <c r="B232" s="612" t="s">
        <v>668</v>
      </c>
    </row>
    <row r="233" spans="2:2" ht="15.75" x14ac:dyDescent="0.25">
      <c r="B233" s="1"/>
    </row>
    <row r="234" spans="2:2" ht="15.75" x14ac:dyDescent="0.25">
      <c r="B234" s="1" t="s">
        <v>669</v>
      </c>
    </row>
    <row r="235" spans="2:2" ht="15.75" x14ac:dyDescent="0.25">
      <c r="B235" s="612" t="s">
        <v>670</v>
      </c>
    </row>
    <row r="236" spans="2:2" ht="15.75" x14ac:dyDescent="0.25">
      <c r="B236" s="1"/>
    </row>
    <row r="237" spans="2:2" ht="15.75" x14ac:dyDescent="0.25">
      <c r="B237" s="1" t="s">
        <v>330</v>
      </c>
    </row>
    <row r="238" spans="2:2" ht="15.75" x14ac:dyDescent="0.25">
      <c r="B238" s="612" t="s">
        <v>671</v>
      </c>
    </row>
    <row r="239" spans="2:2" ht="15.75" x14ac:dyDescent="0.25">
      <c r="B239" s="1"/>
    </row>
    <row r="240" spans="2:2" ht="15.75" x14ac:dyDescent="0.25">
      <c r="B240" s="1" t="s">
        <v>331</v>
      </c>
    </row>
    <row r="241" spans="2:2" ht="15.75" x14ac:dyDescent="0.25">
      <c r="B241" s="612" t="s">
        <v>672</v>
      </c>
    </row>
    <row r="242" spans="2:2" ht="15.75" x14ac:dyDescent="0.25">
      <c r="B242" s="1"/>
    </row>
    <row r="243" spans="2:2" ht="15.75" x14ac:dyDescent="0.25">
      <c r="B243" s="1" t="s">
        <v>332</v>
      </c>
    </row>
    <row r="244" spans="2:2" ht="15.75" x14ac:dyDescent="0.25">
      <c r="B244" s="612" t="s">
        <v>673</v>
      </c>
    </row>
    <row r="245" spans="2:2" ht="15.75" x14ac:dyDescent="0.25">
      <c r="B245" s="1"/>
    </row>
  </sheetData>
  <sheetProtection sheet="1" objects="1" scenarios="1"/>
  <mergeCells count="3">
    <mergeCell ref="A61:J62"/>
    <mergeCell ref="B219:I219"/>
    <mergeCell ref="B222:H222"/>
  </mergeCells>
  <hyperlinks>
    <hyperlink ref="B244" r:id="rId1"/>
  </hyperlinks>
  <pageMargins left="0.7" right="0.7" top="0.75" bottom="0.75" header="0.3" footer="0.3"/>
  <pageSetup orientation="landscape"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9"/>
  <sheetViews>
    <sheetView workbookViewId="0"/>
  </sheetViews>
  <sheetFormatPr defaultColWidth="8.88671875" defaultRowHeight="15.75" x14ac:dyDescent="0.2"/>
  <cols>
    <col min="1" max="1" width="83.6640625" style="25" customWidth="1"/>
    <col min="2" max="16384" width="8.88671875" style="24"/>
  </cols>
  <sheetData>
    <row r="1" spans="1:1" x14ac:dyDescent="0.2">
      <c r="A1" s="558" t="s">
        <v>877</v>
      </c>
    </row>
    <row r="2" spans="1:1" x14ac:dyDescent="0.2">
      <c r="A2" s="25" t="s">
        <v>878</v>
      </c>
    </row>
    <row r="3" spans="1:1" x14ac:dyDescent="0.2">
      <c r="A3" s="25" t="s">
        <v>879</v>
      </c>
    </row>
    <row r="4" spans="1:1" ht="17.25" customHeight="1" x14ac:dyDescent="0.2">
      <c r="A4" s="25" t="s">
        <v>880</v>
      </c>
    </row>
    <row r="5" spans="1:1" x14ac:dyDescent="0.2">
      <c r="A5" s="25" t="s">
        <v>881</v>
      </c>
    </row>
    <row r="6" spans="1:1" x14ac:dyDescent="0.2">
      <c r="A6" s="25" t="s">
        <v>882</v>
      </c>
    </row>
    <row r="8" spans="1:1" x14ac:dyDescent="0.2">
      <c r="A8" s="558" t="s">
        <v>883</v>
      </c>
    </row>
    <row r="9" spans="1:1" x14ac:dyDescent="0.2">
      <c r="A9" s="25" t="s">
        <v>654</v>
      </c>
    </row>
    <row r="10" spans="1:1" x14ac:dyDescent="0.2">
      <c r="A10" s="25" t="s">
        <v>655</v>
      </c>
    </row>
    <row r="11" spans="1:1" ht="31.5" x14ac:dyDescent="0.2">
      <c r="A11" s="25" t="s">
        <v>656</v>
      </c>
    </row>
    <row r="12" spans="1:1" ht="31.5" x14ac:dyDescent="0.2">
      <c r="A12" s="25" t="s">
        <v>657</v>
      </c>
    </row>
    <row r="13" spans="1:1" x14ac:dyDescent="0.2">
      <c r="A13" s="25" t="s">
        <v>658</v>
      </c>
    </row>
    <row r="14" spans="1:1" ht="31.5" x14ac:dyDescent="0.2">
      <c r="A14" s="25" t="s">
        <v>659</v>
      </c>
    </row>
    <row r="15" spans="1:1" x14ac:dyDescent="0.2">
      <c r="A15" s="25" t="s">
        <v>660</v>
      </c>
    </row>
    <row r="16" spans="1:1" x14ac:dyDescent="0.2">
      <c r="A16" s="25" t="s">
        <v>661</v>
      </c>
    </row>
    <row r="17" spans="1:1" x14ac:dyDescent="0.2">
      <c r="A17" s="25" t="s">
        <v>662</v>
      </c>
    </row>
    <row r="18" spans="1:1" x14ac:dyDescent="0.2">
      <c r="A18" s="25" t="s">
        <v>884</v>
      </c>
    </row>
    <row r="20" spans="1:1" x14ac:dyDescent="0.2">
      <c r="A20" s="558" t="s">
        <v>566</v>
      </c>
    </row>
    <row r="21" spans="1:1" x14ac:dyDescent="0.2">
      <c r="A21" s="25" t="s">
        <v>567</v>
      </c>
    </row>
    <row r="22" spans="1:1" x14ac:dyDescent="0.2">
      <c r="A22" s="25" t="s">
        <v>568</v>
      </c>
    </row>
    <row r="23" spans="1:1" x14ac:dyDescent="0.2">
      <c r="A23" s="25" t="s">
        <v>569</v>
      </c>
    </row>
    <row r="24" spans="1:1" x14ac:dyDescent="0.2">
      <c r="A24" s="25" t="s">
        <v>570</v>
      </c>
    </row>
    <row r="25" spans="1:1" x14ac:dyDescent="0.2">
      <c r="A25" s="25" t="s">
        <v>885</v>
      </c>
    </row>
    <row r="27" spans="1:1" x14ac:dyDescent="0.25">
      <c r="A27" s="613" t="s">
        <v>886</v>
      </c>
    </row>
    <row r="28" spans="1:1" x14ac:dyDescent="0.2">
      <c r="A28" s="25" t="s">
        <v>559</v>
      </c>
    </row>
    <row r="29" spans="1:1" ht="31.5" x14ac:dyDescent="0.2">
      <c r="A29" s="25" t="s">
        <v>560</v>
      </c>
    </row>
    <row r="30" spans="1:1" x14ac:dyDescent="0.2">
      <c r="A30" s="25" t="s">
        <v>561</v>
      </c>
    </row>
    <row r="31" spans="1:1" x14ac:dyDescent="0.2">
      <c r="A31" s="25" t="s">
        <v>562</v>
      </c>
    </row>
    <row r="32" spans="1:1" x14ac:dyDescent="0.2">
      <c r="A32" s="25" t="s">
        <v>563</v>
      </c>
    </row>
    <row r="35" spans="1:1" x14ac:dyDescent="0.25">
      <c r="A35" s="613" t="s">
        <v>887</v>
      </c>
    </row>
    <row r="36" spans="1:1" x14ac:dyDescent="0.2">
      <c r="A36" s="25" t="s">
        <v>552</v>
      </c>
    </row>
    <row r="37" spans="1:1" x14ac:dyDescent="0.2">
      <c r="A37" s="25" t="s">
        <v>553</v>
      </c>
    </row>
    <row r="38" spans="1:1" x14ac:dyDescent="0.2">
      <c r="A38" s="25" t="s">
        <v>554</v>
      </c>
    </row>
    <row r="39" spans="1:1" x14ac:dyDescent="0.2">
      <c r="A39" s="25" t="s">
        <v>555</v>
      </c>
    </row>
    <row r="40" spans="1:1" x14ac:dyDescent="0.2">
      <c r="A40" s="25" t="s">
        <v>556</v>
      </c>
    </row>
    <row r="41" spans="1:1" x14ac:dyDescent="0.2">
      <c r="A41" s="25" t="s">
        <v>557</v>
      </c>
    </row>
    <row r="43" spans="1:1" x14ac:dyDescent="0.25">
      <c r="A43" s="613" t="s">
        <v>542</v>
      </c>
    </row>
    <row r="44" spans="1:1" x14ac:dyDescent="0.2">
      <c r="A44" s="25" t="s">
        <v>543</v>
      </c>
    </row>
    <row r="45" spans="1:1" x14ac:dyDescent="0.2">
      <c r="A45" s="25" t="s">
        <v>544</v>
      </c>
    </row>
    <row r="46" spans="1:1" x14ac:dyDescent="0.2">
      <c r="A46" s="25" t="s">
        <v>545</v>
      </c>
    </row>
    <row r="47" spans="1:1" x14ac:dyDescent="0.2">
      <c r="A47" s="25" t="s">
        <v>546</v>
      </c>
    </row>
    <row r="48" spans="1:1" x14ac:dyDescent="0.2">
      <c r="A48" s="25" t="s">
        <v>547</v>
      </c>
    </row>
    <row r="49" spans="1:1" x14ac:dyDescent="0.2">
      <c r="A49" s="25" t="s">
        <v>548</v>
      </c>
    </row>
    <row r="50" spans="1:1" x14ac:dyDescent="0.2">
      <c r="A50" s="25" t="s">
        <v>549</v>
      </c>
    </row>
    <row r="51" spans="1:1" x14ac:dyDescent="0.2">
      <c r="A51" s="25" t="s">
        <v>550</v>
      </c>
    </row>
    <row r="53" spans="1:1" x14ac:dyDescent="0.25">
      <c r="A53" s="613" t="s">
        <v>536</v>
      </c>
    </row>
    <row r="54" spans="1:1" x14ac:dyDescent="0.2">
      <c r="A54" s="614" t="s">
        <v>537</v>
      </c>
    </row>
    <row r="55" spans="1:1" x14ac:dyDescent="0.2">
      <c r="A55" s="614" t="s">
        <v>538</v>
      </c>
    </row>
    <row r="57" spans="1:1" x14ac:dyDescent="0.25">
      <c r="A57" s="615" t="s">
        <v>888</v>
      </c>
    </row>
    <row r="58" spans="1:1" x14ac:dyDescent="0.25">
      <c r="A58" s="294" t="s">
        <v>535</v>
      </c>
    </row>
    <row r="60" spans="1:1" x14ac:dyDescent="0.25">
      <c r="A60" s="615" t="s">
        <v>889</v>
      </c>
    </row>
    <row r="61" spans="1:1" x14ac:dyDescent="0.25">
      <c r="A61" s="294" t="s">
        <v>890</v>
      </c>
    </row>
    <row r="62" spans="1:1" x14ac:dyDescent="0.25">
      <c r="A62" s="294" t="s">
        <v>891</v>
      </c>
    </row>
    <row r="63" spans="1:1" x14ac:dyDescent="0.25">
      <c r="A63" s="294" t="s">
        <v>892</v>
      </c>
    </row>
    <row r="64" spans="1:1" x14ac:dyDescent="0.25">
      <c r="A64" s="294" t="s">
        <v>893</v>
      </c>
    </row>
    <row r="65" spans="1:1" x14ac:dyDescent="0.25">
      <c r="A65" s="294" t="s">
        <v>894</v>
      </c>
    </row>
    <row r="66" spans="1:1" x14ac:dyDescent="0.25">
      <c r="A66" s="294" t="s">
        <v>895</v>
      </c>
    </row>
    <row r="68" spans="1:1" x14ac:dyDescent="0.2">
      <c r="A68" s="616" t="s">
        <v>532</v>
      </c>
    </row>
    <row r="69" spans="1:1" x14ac:dyDescent="0.2">
      <c r="A69" s="614" t="s">
        <v>533</v>
      </c>
    </row>
    <row r="70" spans="1:1" x14ac:dyDescent="0.2">
      <c r="A70" s="25" t="s">
        <v>534</v>
      </c>
    </row>
    <row r="72" spans="1:1" x14ac:dyDescent="0.2">
      <c r="A72" s="616" t="s">
        <v>896</v>
      </c>
    </row>
    <row r="73" spans="1:1" x14ac:dyDescent="0.2">
      <c r="A73" s="614" t="s">
        <v>530</v>
      </c>
    </row>
    <row r="75" spans="1:1" x14ac:dyDescent="0.2">
      <c r="A75" s="616" t="s">
        <v>897</v>
      </c>
    </row>
    <row r="76" spans="1:1" x14ac:dyDescent="0.2">
      <c r="A76" s="614" t="s">
        <v>898</v>
      </c>
    </row>
    <row r="78" spans="1:1" x14ac:dyDescent="0.2">
      <c r="A78" s="616" t="s">
        <v>899</v>
      </c>
    </row>
    <row r="79" spans="1:1" x14ac:dyDescent="0.2">
      <c r="A79" s="614" t="s">
        <v>508</v>
      </c>
    </row>
    <row r="81" spans="1:1" x14ac:dyDescent="0.2">
      <c r="A81" s="616" t="s">
        <v>507</v>
      </c>
    </row>
    <row r="82" spans="1:1" x14ac:dyDescent="0.2">
      <c r="A82" s="614" t="s">
        <v>506</v>
      </c>
    </row>
    <row r="84" spans="1:1" x14ac:dyDescent="0.2">
      <c r="A84" s="616" t="s">
        <v>492</v>
      </c>
    </row>
    <row r="85" spans="1:1" x14ac:dyDescent="0.2">
      <c r="A85" s="614" t="s">
        <v>493</v>
      </c>
    </row>
    <row r="87" spans="1:1" x14ac:dyDescent="0.2">
      <c r="A87" s="616" t="s">
        <v>900</v>
      </c>
    </row>
    <row r="88" spans="1:1" x14ac:dyDescent="0.2">
      <c r="A88" s="551" t="s">
        <v>491</v>
      </c>
    </row>
    <row r="90" spans="1:1" x14ac:dyDescent="0.2">
      <c r="A90" s="616" t="s">
        <v>901</v>
      </c>
    </row>
    <row r="91" spans="1:1" x14ac:dyDescent="0.2">
      <c r="A91" s="25" t="s">
        <v>902</v>
      </c>
    </row>
    <row r="93" spans="1:1" x14ac:dyDescent="0.2">
      <c r="A93" s="616" t="s">
        <v>494</v>
      </c>
    </row>
    <row r="94" spans="1:1" x14ac:dyDescent="0.2">
      <c r="A94" s="25" t="s">
        <v>490</v>
      </c>
    </row>
    <row r="96" spans="1:1" x14ac:dyDescent="0.2">
      <c r="A96" s="616" t="s">
        <v>495</v>
      </c>
    </row>
    <row r="97" spans="1:1" x14ac:dyDescent="0.2">
      <c r="A97" s="25" t="s">
        <v>489</v>
      </c>
    </row>
    <row r="99" spans="1:1" x14ac:dyDescent="0.2">
      <c r="A99" s="616" t="s">
        <v>496</v>
      </c>
    </row>
    <row r="100" spans="1:1" x14ac:dyDescent="0.2">
      <c r="A100" s="617" t="s">
        <v>488</v>
      </c>
    </row>
    <row r="102" spans="1:1" x14ac:dyDescent="0.2">
      <c r="A102" s="616" t="s">
        <v>497</v>
      </c>
    </row>
    <row r="103" spans="1:1" x14ac:dyDescent="0.2">
      <c r="A103" s="25" t="s">
        <v>484</v>
      </c>
    </row>
    <row r="105" spans="1:1" x14ac:dyDescent="0.2">
      <c r="A105" s="616" t="s">
        <v>903</v>
      </c>
    </row>
    <row r="106" spans="1:1" x14ac:dyDescent="0.2">
      <c r="A106" s="25" t="s">
        <v>904</v>
      </c>
    </row>
    <row r="107" spans="1:1" x14ac:dyDescent="0.2">
      <c r="A107" s="25" t="s">
        <v>905</v>
      </c>
    </row>
    <row r="109" spans="1:1" x14ac:dyDescent="0.2">
      <c r="A109" s="616" t="s">
        <v>498</v>
      </c>
    </row>
    <row r="110" spans="1:1" x14ac:dyDescent="0.2">
      <c r="A110" s="618" t="s">
        <v>483</v>
      </c>
    </row>
    <row r="112" spans="1:1" x14ac:dyDescent="0.2">
      <c r="A112" s="616" t="s">
        <v>499</v>
      </c>
    </row>
    <row r="113" spans="1:1" x14ac:dyDescent="0.2">
      <c r="A113" s="617" t="s">
        <v>380</v>
      </c>
    </row>
    <row r="114" spans="1:1" x14ac:dyDescent="0.2">
      <c r="A114" s="25" t="s">
        <v>381</v>
      </c>
    </row>
    <row r="115" spans="1:1" x14ac:dyDescent="0.2">
      <c r="A115" s="25" t="s">
        <v>382</v>
      </c>
    </row>
    <row r="116" spans="1:1" x14ac:dyDescent="0.2">
      <c r="A116" s="25" t="s">
        <v>383</v>
      </c>
    </row>
    <row r="117" spans="1:1" x14ac:dyDescent="0.2">
      <c r="A117" s="25" t="s">
        <v>384</v>
      </c>
    </row>
    <row r="118" spans="1:1" x14ac:dyDescent="0.2">
      <c r="A118" s="25" t="s">
        <v>385</v>
      </c>
    </row>
    <row r="119" spans="1:1" x14ac:dyDescent="0.2">
      <c r="A119" s="25" t="s">
        <v>386</v>
      </c>
    </row>
    <row r="120" spans="1:1" x14ac:dyDescent="0.2">
      <c r="A120" s="25" t="s">
        <v>387</v>
      </c>
    </row>
    <row r="121" spans="1:1" ht="31.5" x14ac:dyDescent="0.2">
      <c r="A121" s="25" t="s">
        <v>388</v>
      </c>
    </row>
    <row r="122" spans="1:1" ht="48.75" customHeight="1" x14ac:dyDescent="0.2">
      <c r="A122" s="25" t="s">
        <v>389</v>
      </c>
    </row>
    <row r="123" spans="1:1" x14ac:dyDescent="0.2">
      <c r="A123" s="25" t="s">
        <v>390</v>
      </c>
    </row>
    <row r="124" spans="1:1" ht="36" customHeight="1" x14ac:dyDescent="0.2">
      <c r="A124" s="25" t="s">
        <v>391</v>
      </c>
    </row>
    <row r="125" spans="1:1" x14ac:dyDescent="0.2">
      <c r="A125" s="25" t="s">
        <v>392</v>
      </c>
    </row>
    <row r="126" spans="1:1" x14ac:dyDescent="0.2">
      <c r="A126" s="25" t="s">
        <v>393</v>
      </c>
    </row>
    <row r="127" spans="1:1" x14ac:dyDescent="0.2">
      <c r="A127" s="25" t="s">
        <v>394</v>
      </c>
    </row>
    <row r="128" spans="1:1" x14ac:dyDescent="0.2">
      <c r="A128" s="25" t="s">
        <v>395</v>
      </c>
    </row>
    <row r="129" spans="1:1" ht="47.25" x14ac:dyDescent="0.2">
      <c r="A129" s="25" t="s">
        <v>396</v>
      </c>
    </row>
    <row r="130" spans="1:1" x14ac:dyDescent="0.2">
      <c r="A130" s="551" t="s">
        <v>397</v>
      </c>
    </row>
    <row r="131" spans="1:1" ht="31.5" x14ac:dyDescent="0.2">
      <c r="A131" s="25" t="s">
        <v>398</v>
      </c>
    </row>
    <row r="132" spans="1:1" x14ac:dyDescent="0.2">
      <c r="A132" s="25" t="s">
        <v>399</v>
      </c>
    </row>
    <row r="133" spans="1:1" x14ac:dyDescent="0.2">
      <c r="A133" s="25" t="s">
        <v>400</v>
      </c>
    </row>
    <row r="134" spans="1:1" x14ac:dyDescent="0.2">
      <c r="A134" s="25" t="s">
        <v>401</v>
      </c>
    </row>
    <row r="135" spans="1:1" x14ac:dyDescent="0.2">
      <c r="A135" s="25" t="s">
        <v>402</v>
      </c>
    </row>
    <row r="136" spans="1:1" x14ac:dyDescent="0.2">
      <c r="A136" s="25" t="s">
        <v>403</v>
      </c>
    </row>
    <row r="137" spans="1:1" x14ac:dyDescent="0.2">
      <c r="A137" s="25" t="s">
        <v>404</v>
      </c>
    </row>
    <row r="138" spans="1:1" ht="15.75" customHeight="1" x14ac:dyDescent="0.2">
      <c r="A138" s="25" t="s">
        <v>405</v>
      </c>
    </row>
    <row r="139" spans="1:1" ht="31.5" x14ac:dyDescent="0.2">
      <c r="A139" s="25" t="s">
        <v>406</v>
      </c>
    </row>
    <row r="140" spans="1:1" x14ac:dyDescent="0.2">
      <c r="A140" s="25" t="s">
        <v>407</v>
      </c>
    </row>
    <row r="141" spans="1:1" x14ac:dyDescent="0.2">
      <c r="A141" s="25" t="s">
        <v>408</v>
      </c>
    </row>
    <row r="142" spans="1:1" x14ac:dyDescent="0.2">
      <c r="A142" s="25" t="s">
        <v>409</v>
      </c>
    </row>
    <row r="143" spans="1:1" x14ac:dyDescent="0.2">
      <c r="A143" s="25" t="s">
        <v>410</v>
      </c>
    </row>
    <row r="144" spans="1:1" x14ac:dyDescent="0.2">
      <c r="A144" s="25" t="s">
        <v>411</v>
      </c>
    </row>
    <row r="145" spans="1:1" ht="15.75" customHeight="1" x14ac:dyDescent="0.2">
      <c r="A145" s="25" t="s">
        <v>412</v>
      </c>
    </row>
    <row r="146" spans="1:1" x14ac:dyDescent="0.2">
      <c r="A146" s="25" t="s">
        <v>482</v>
      </c>
    </row>
    <row r="147" spans="1:1" x14ac:dyDescent="0.2">
      <c r="A147" s="25" t="s">
        <v>906</v>
      </c>
    </row>
    <row r="149" spans="1:1" x14ac:dyDescent="0.2">
      <c r="A149" s="616" t="s">
        <v>907</v>
      </c>
    </row>
    <row r="150" spans="1:1" ht="31.5" x14ac:dyDescent="0.2">
      <c r="A150" s="25" t="s">
        <v>908</v>
      </c>
    </row>
    <row r="152" spans="1:1" x14ac:dyDescent="0.2">
      <c r="A152" s="616" t="s">
        <v>500</v>
      </c>
    </row>
    <row r="153" spans="1:1" x14ac:dyDescent="0.2">
      <c r="A153" s="25" t="s">
        <v>909</v>
      </c>
    </row>
    <row r="154" spans="1:1" x14ac:dyDescent="0.2">
      <c r="A154" s="25" t="s">
        <v>910</v>
      </c>
    </row>
    <row r="155" spans="1:1" ht="15.75" customHeight="1" x14ac:dyDescent="0.2"/>
    <row r="156" spans="1:1" x14ac:dyDescent="0.2">
      <c r="A156" s="616" t="s">
        <v>911</v>
      </c>
    </row>
    <row r="157" spans="1:1" x14ac:dyDescent="0.2">
      <c r="A157" s="25" t="s">
        <v>912</v>
      </c>
    </row>
    <row r="159" spans="1:1" x14ac:dyDescent="0.2">
      <c r="A159" s="616" t="s">
        <v>913</v>
      </c>
    </row>
    <row r="160" spans="1:1" ht="19.5" customHeight="1" x14ac:dyDescent="0.2">
      <c r="A160" s="25" t="s">
        <v>914</v>
      </c>
    </row>
    <row r="162" spans="1:1" x14ac:dyDescent="0.2">
      <c r="A162" s="616" t="s">
        <v>501</v>
      </c>
    </row>
    <row r="163" spans="1:1" x14ac:dyDescent="0.2">
      <c r="A163" s="298" t="s">
        <v>378</v>
      </c>
    </row>
    <row r="164" spans="1:1" x14ac:dyDescent="0.2">
      <c r="A164" s="298" t="s">
        <v>915</v>
      </c>
    </row>
    <row r="166" spans="1:1" x14ac:dyDescent="0.2">
      <c r="A166" s="616" t="s">
        <v>916</v>
      </c>
    </row>
    <row r="167" spans="1:1" x14ac:dyDescent="0.2">
      <c r="A167" s="25" t="s">
        <v>917</v>
      </c>
    </row>
    <row r="168" spans="1:1" x14ac:dyDescent="0.2">
      <c r="A168" s="25" t="s">
        <v>918</v>
      </c>
    </row>
    <row r="169" spans="1:1" x14ac:dyDescent="0.2">
      <c r="A169" s="25" t="s">
        <v>919</v>
      </c>
    </row>
    <row r="171" spans="1:1" x14ac:dyDescent="0.2">
      <c r="A171" s="616" t="s">
        <v>920</v>
      </c>
    </row>
    <row r="172" spans="1:1" x14ac:dyDescent="0.2">
      <c r="A172" s="298" t="s">
        <v>333</v>
      </c>
    </row>
    <row r="173" spans="1:1" x14ac:dyDescent="0.2">
      <c r="A173" s="298" t="s">
        <v>334</v>
      </c>
    </row>
    <row r="174" spans="1:1" ht="31.5" x14ac:dyDescent="0.2">
      <c r="A174" s="298" t="s">
        <v>921</v>
      </c>
    </row>
    <row r="175" spans="1:1" x14ac:dyDescent="0.2">
      <c r="A175" s="298" t="s">
        <v>355</v>
      </c>
    </row>
    <row r="176" spans="1:1" x14ac:dyDescent="0.2">
      <c r="A176" s="298" t="s">
        <v>356</v>
      </c>
    </row>
    <row r="177" spans="1:1" x14ac:dyDescent="0.2">
      <c r="A177" s="298" t="s">
        <v>357</v>
      </c>
    </row>
    <row r="178" spans="1:1" x14ac:dyDescent="0.2">
      <c r="A178" s="298" t="s">
        <v>358</v>
      </c>
    </row>
    <row r="179" spans="1:1" x14ac:dyDescent="0.2">
      <c r="A179" s="298" t="s">
        <v>359</v>
      </c>
    </row>
    <row r="180" spans="1:1" x14ac:dyDescent="0.2">
      <c r="A180" s="298" t="s">
        <v>360</v>
      </c>
    </row>
    <row r="181" spans="1:1" x14ac:dyDescent="0.2">
      <c r="A181" s="298" t="s">
        <v>361</v>
      </c>
    </row>
    <row r="182" spans="1:1" x14ac:dyDescent="0.2">
      <c r="A182" s="298" t="s">
        <v>362</v>
      </c>
    </row>
    <row r="183" spans="1:1" x14ac:dyDescent="0.2">
      <c r="A183" s="298" t="s">
        <v>363</v>
      </c>
    </row>
    <row r="184" spans="1:1" x14ac:dyDescent="0.2">
      <c r="A184" s="298" t="s">
        <v>364</v>
      </c>
    </row>
    <row r="185" spans="1:1" x14ac:dyDescent="0.2">
      <c r="A185" s="298" t="s">
        <v>922</v>
      </c>
    </row>
    <row r="186" spans="1:1" x14ac:dyDescent="0.2">
      <c r="A186" s="298" t="s">
        <v>365</v>
      </c>
    </row>
    <row r="187" spans="1:1" x14ac:dyDescent="0.2">
      <c r="A187" s="298" t="s">
        <v>366</v>
      </c>
    </row>
    <row r="188" spans="1:1" x14ac:dyDescent="0.2">
      <c r="A188" s="298" t="s">
        <v>367</v>
      </c>
    </row>
    <row r="189" spans="1:1" x14ac:dyDescent="0.2">
      <c r="A189" s="298" t="s">
        <v>368</v>
      </c>
    </row>
    <row r="190" spans="1:1" ht="18" customHeight="1" x14ac:dyDescent="0.2">
      <c r="A190" s="298" t="s">
        <v>369</v>
      </c>
    </row>
    <row r="191" spans="1:1" x14ac:dyDescent="0.2">
      <c r="A191" s="298" t="s">
        <v>370</v>
      </c>
    </row>
    <row r="192" spans="1:1" x14ac:dyDescent="0.2">
      <c r="A192" s="298" t="s">
        <v>371</v>
      </c>
    </row>
    <row r="193" spans="1:1" x14ac:dyDescent="0.2">
      <c r="A193" s="298" t="s">
        <v>372</v>
      </c>
    </row>
    <row r="194" spans="1:1" x14ac:dyDescent="0.2">
      <c r="A194" s="298" t="s">
        <v>373</v>
      </c>
    </row>
    <row r="195" spans="1:1" ht="16.5" customHeight="1" x14ac:dyDescent="0.2">
      <c r="A195" s="298" t="s">
        <v>374</v>
      </c>
    </row>
    <row r="196" spans="1:1" x14ac:dyDescent="0.2">
      <c r="A196" s="298" t="s">
        <v>375</v>
      </c>
    </row>
    <row r="197" spans="1:1" x14ac:dyDescent="0.2">
      <c r="A197" s="298" t="s">
        <v>376</v>
      </c>
    </row>
    <row r="198" spans="1:1" x14ac:dyDescent="0.2">
      <c r="A198" s="298" t="s">
        <v>377</v>
      </c>
    </row>
    <row r="199" spans="1:1" x14ac:dyDescent="0.2">
      <c r="A199" s="298" t="s">
        <v>923</v>
      </c>
    </row>
    <row r="201" spans="1:1" x14ac:dyDescent="0.2">
      <c r="A201" s="616" t="s">
        <v>502</v>
      </c>
    </row>
    <row r="202" spans="1:1" x14ac:dyDescent="0.2">
      <c r="A202" s="25" t="s">
        <v>315</v>
      </c>
    </row>
    <row r="203" spans="1:1" x14ac:dyDescent="0.2">
      <c r="A203" s="25" t="s">
        <v>316</v>
      </c>
    </row>
    <row r="204" spans="1:1" x14ac:dyDescent="0.2">
      <c r="A204" s="25" t="s">
        <v>317</v>
      </c>
    </row>
    <row r="205" spans="1:1" ht="17.25" customHeight="1" x14ac:dyDescent="0.2"/>
    <row r="206" spans="1:1" x14ac:dyDescent="0.2">
      <c r="A206" s="616" t="s">
        <v>503</v>
      </c>
    </row>
    <row r="207" spans="1:1" x14ac:dyDescent="0.2">
      <c r="A207" s="25" t="s">
        <v>314</v>
      </c>
    </row>
    <row r="208" spans="1:1" x14ac:dyDescent="0.2">
      <c r="A208" s="25" t="s">
        <v>924</v>
      </c>
    </row>
    <row r="210" spans="1:1" x14ac:dyDescent="0.2">
      <c r="A210" s="616" t="s">
        <v>504</v>
      </c>
    </row>
    <row r="211" spans="1:1" ht="21.75" customHeight="1" x14ac:dyDescent="0.2">
      <c r="A211" s="619" t="s">
        <v>284</v>
      </c>
    </row>
    <row r="212" spans="1:1" x14ac:dyDescent="0.2">
      <c r="A212" s="619" t="s">
        <v>285</v>
      </c>
    </row>
    <row r="213" spans="1:1" ht="16.5" customHeight="1" x14ac:dyDescent="0.2">
      <c r="A213" s="619" t="s">
        <v>286</v>
      </c>
    </row>
    <row r="214" spans="1:1" x14ac:dyDescent="0.2">
      <c r="A214" s="25" t="s">
        <v>308</v>
      </c>
    </row>
    <row r="216" spans="1:1" x14ac:dyDescent="0.2">
      <c r="A216" s="558" t="s">
        <v>505</v>
      </c>
    </row>
    <row r="217" spans="1:1" x14ac:dyDescent="0.2">
      <c r="A217" s="620" t="s">
        <v>270</v>
      </c>
    </row>
    <row r="218" spans="1:1" x14ac:dyDescent="0.2">
      <c r="A218" s="25" t="s">
        <v>271</v>
      </c>
    </row>
    <row r="219" spans="1:1" x14ac:dyDescent="0.2">
      <c r="A219" s="25" t="s">
        <v>272</v>
      </c>
    </row>
    <row r="220" spans="1:1" ht="31.5" x14ac:dyDescent="0.2">
      <c r="A220" s="460" t="s">
        <v>273</v>
      </c>
    </row>
    <row r="221" spans="1:1" x14ac:dyDescent="0.2">
      <c r="A221" s="25" t="s">
        <v>274</v>
      </c>
    </row>
    <row r="222" spans="1:1" ht="16.5" customHeight="1" x14ac:dyDescent="0.2">
      <c r="A222" s="25" t="s">
        <v>275</v>
      </c>
    </row>
    <row r="223" spans="1:1" x14ac:dyDescent="0.2">
      <c r="A223" s="25" t="s">
        <v>276</v>
      </c>
    </row>
    <row r="224" spans="1:1" x14ac:dyDescent="0.2">
      <c r="A224" s="25" t="s">
        <v>277</v>
      </c>
    </row>
    <row r="225" spans="1:1" x14ac:dyDescent="0.2">
      <c r="A225" s="25" t="s">
        <v>925</v>
      </c>
    </row>
    <row r="227" spans="1:1" x14ac:dyDescent="0.2">
      <c r="A227" s="558" t="s">
        <v>926</v>
      </c>
    </row>
    <row r="228" spans="1:1" x14ac:dyDescent="0.2">
      <c r="A228" s="25" t="s">
        <v>927</v>
      </c>
    </row>
    <row r="229" spans="1:1" x14ac:dyDescent="0.2">
      <c r="A229" s="25" t="s">
        <v>928</v>
      </c>
    </row>
    <row r="230" spans="1:1" x14ac:dyDescent="0.2">
      <c r="A230" s="25" t="s">
        <v>929</v>
      </c>
    </row>
    <row r="231" spans="1:1" x14ac:dyDescent="0.2">
      <c r="A231" s="25" t="s">
        <v>930</v>
      </c>
    </row>
    <row r="233" spans="1:1" x14ac:dyDescent="0.2">
      <c r="A233" s="558" t="s">
        <v>931</v>
      </c>
    </row>
    <row r="234" spans="1:1" x14ac:dyDescent="0.2">
      <c r="A234" s="25" t="s">
        <v>932</v>
      </c>
    </row>
    <row r="236" spans="1:1" x14ac:dyDescent="0.2">
      <c r="A236" s="558" t="s">
        <v>933</v>
      </c>
    </row>
    <row r="237" spans="1:1" x14ac:dyDescent="0.2">
      <c r="A237" s="25" t="s">
        <v>934</v>
      </c>
    </row>
    <row r="239" spans="1:1" ht="32.25" customHeight="1" x14ac:dyDescent="0.2">
      <c r="A239" s="558" t="s">
        <v>219</v>
      </c>
    </row>
    <row r="240" spans="1:1" ht="36" customHeight="1" x14ac:dyDescent="0.2">
      <c r="A240" s="25" t="s">
        <v>935</v>
      </c>
    </row>
    <row r="241" spans="1:1" ht="35.25" customHeight="1" x14ac:dyDescent="0.2">
      <c r="A241" s="25" t="s">
        <v>936</v>
      </c>
    </row>
    <row r="242" spans="1:1" ht="18" customHeight="1" x14ac:dyDescent="0.2">
      <c r="A242" s="25" t="s">
        <v>937</v>
      </c>
    </row>
    <row r="243" spans="1:1" ht="36" customHeight="1" x14ac:dyDescent="0.2"/>
    <row r="244" spans="1:1" x14ac:dyDescent="0.2">
      <c r="A244" s="558" t="s">
        <v>938</v>
      </c>
    </row>
    <row r="245" spans="1:1" ht="33.75" customHeight="1" x14ac:dyDescent="0.2">
      <c r="A245" s="25" t="s">
        <v>18</v>
      </c>
    </row>
    <row r="246" spans="1:1" ht="18.75" customHeight="1" x14ac:dyDescent="0.2">
      <c r="A246" s="25" t="s">
        <v>19</v>
      </c>
    </row>
    <row r="247" spans="1:1" ht="17.25" customHeight="1" x14ac:dyDescent="0.2">
      <c r="A247" s="25" t="s">
        <v>20</v>
      </c>
    </row>
    <row r="248" spans="1:1" ht="17.25" customHeight="1" x14ac:dyDescent="0.2">
      <c r="A248" s="25" t="s">
        <v>939</v>
      </c>
    </row>
    <row r="249" spans="1:1" x14ac:dyDescent="0.2">
      <c r="A249" s="25" t="s">
        <v>21</v>
      </c>
    </row>
    <row r="250" spans="1:1" x14ac:dyDescent="0.2">
      <c r="A250" s="25" t="s">
        <v>22</v>
      </c>
    </row>
    <row r="251" spans="1:1" ht="31.5" x14ac:dyDescent="0.2">
      <c r="A251" s="25" t="s">
        <v>25</v>
      </c>
    </row>
    <row r="252" spans="1:1" ht="31.5" x14ac:dyDescent="0.2">
      <c r="A252" s="25" t="s">
        <v>23</v>
      </c>
    </row>
    <row r="253" spans="1:1" ht="31.5" x14ac:dyDescent="0.2">
      <c r="A253" s="25" t="s">
        <v>940</v>
      </c>
    </row>
    <row r="254" spans="1:1" ht="14.25" customHeight="1" x14ac:dyDescent="0.2">
      <c r="A254" s="25" t="s">
        <v>24</v>
      </c>
    </row>
    <row r="255" spans="1:1" ht="31.5" x14ac:dyDescent="0.2">
      <c r="A255" s="25" t="s">
        <v>215</v>
      </c>
    </row>
    <row r="256" spans="1:1" x14ac:dyDescent="0.2">
      <c r="A256" s="25" t="s">
        <v>216</v>
      </c>
    </row>
    <row r="257" spans="1:1" ht="31.5" x14ac:dyDescent="0.2">
      <c r="A257" s="25" t="s">
        <v>941</v>
      </c>
    </row>
    <row r="258" spans="1:1" x14ac:dyDescent="0.2">
      <c r="A258" s="25" t="s">
        <v>942</v>
      </c>
    </row>
    <row r="259" spans="1:1" x14ac:dyDescent="0.2">
      <c r="A259" s="25" t="s">
        <v>27</v>
      </c>
    </row>
    <row r="260" spans="1:1" x14ac:dyDescent="0.2">
      <c r="A260" s="25" t="s">
        <v>28</v>
      </c>
    </row>
    <row r="261" spans="1:1" x14ac:dyDescent="0.2">
      <c r="A261" s="25" t="s">
        <v>943</v>
      </c>
    </row>
    <row r="262" spans="1:1" ht="31.5" x14ac:dyDescent="0.2">
      <c r="A262" s="25" t="s">
        <v>944</v>
      </c>
    </row>
    <row r="263" spans="1:1" ht="18" customHeight="1" x14ac:dyDescent="0.2">
      <c r="A263" s="25" t="s">
        <v>945</v>
      </c>
    </row>
    <row r="264" spans="1:1" ht="51" customHeight="1" x14ac:dyDescent="0.2"/>
    <row r="265" spans="1:1" x14ac:dyDescent="0.2">
      <c r="A265" s="558" t="s">
        <v>30</v>
      </c>
    </row>
    <row r="266" spans="1:1" x14ac:dyDescent="0.2">
      <c r="A266" s="25" t="s">
        <v>946</v>
      </c>
    </row>
    <row r="267" spans="1:1" x14ac:dyDescent="0.2">
      <c r="A267" s="25" t="s">
        <v>947</v>
      </c>
    </row>
    <row r="268" spans="1:1" x14ac:dyDescent="0.2">
      <c r="A268" s="25" t="s">
        <v>948</v>
      </c>
    </row>
    <row r="269" spans="1:1" x14ac:dyDescent="0.2">
      <c r="A269" s="25" t="s">
        <v>26</v>
      </c>
    </row>
    <row r="270" spans="1:1" x14ac:dyDescent="0.2">
      <c r="A270" s="558" t="s">
        <v>15</v>
      </c>
    </row>
    <row r="271" spans="1:1" ht="31.5" x14ac:dyDescent="0.2">
      <c r="A271" s="25" t="s">
        <v>949</v>
      </c>
    </row>
    <row r="272" spans="1:1" x14ac:dyDescent="0.2">
      <c r="A272" s="25" t="s">
        <v>950</v>
      </c>
    </row>
    <row r="275" spans="1:1" x14ac:dyDescent="0.2">
      <c r="A275" s="558" t="s">
        <v>196</v>
      </c>
    </row>
    <row r="276" spans="1:1" ht="47.25" x14ac:dyDescent="0.2">
      <c r="A276" s="25" t="s">
        <v>951</v>
      </c>
    </row>
    <row r="277" spans="1:1" x14ac:dyDescent="0.2">
      <c r="A277" s="25" t="s">
        <v>197</v>
      </c>
    </row>
    <row r="278" spans="1:1" x14ac:dyDescent="0.2">
      <c r="A278" s="25" t="s">
        <v>198</v>
      </c>
    </row>
    <row r="279" spans="1:1" x14ac:dyDescent="0.2">
      <c r="A279" s="25" t="s">
        <v>217</v>
      </c>
    </row>
    <row r="280" spans="1:1" x14ac:dyDescent="0.2">
      <c r="A280" s="25" t="s">
        <v>199</v>
      </c>
    </row>
    <row r="281" spans="1:1" x14ac:dyDescent="0.2">
      <c r="A281" s="25" t="s">
        <v>200</v>
      </c>
    </row>
    <row r="282" spans="1:1" x14ac:dyDescent="0.2">
      <c r="A282" s="25" t="s">
        <v>952</v>
      </c>
    </row>
    <row r="283" spans="1:1" x14ac:dyDescent="0.2">
      <c r="A283" s="25" t="s">
        <v>201</v>
      </c>
    </row>
    <row r="284" spans="1:1" x14ac:dyDescent="0.2">
      <c r="A284" s="25" t="s">
        <v>202</v>
      </c>
    </row>
    <row r="285" spans="1:1" ht="31.5" x14ac:dyDescent="0.2">
      <c r="A285" s="25" t="s">
        <v>203</v>
      </c>
    </row>
    <row r="286" spans="1:1" ht="31.5" x14ac:dyDescent="0.2">
      <c r="A286" s="25" t="s">
        <v>953</v>
      </c>
    </row>
    <row r="287" spans="1:1" x14ac:dyDescent="0.2">
      <c r="A287" s="25" t="s">
        <v>204</v>
      </c>
    </row>
    <row r="288" spans="1:1" x14ac:dyDescent="0.2">
      <c r="A288" s="25" t="s">
        <v>205</v>
      </c>
    </row>
    <row r="289" spans="1:1" x14ac:dyDescent="0.2">
      <c r="A289" s="25" t="s">
        <v>218</v>
      </c>
    </row>
    <row r="290" spans="1:1" x14ac:dyDescent="0.2">
      <c r="A290" s="25" t="s">
        <v>206</v>
      </c>
    </row>
    <row r="291" spans="1:1" x14ac:dyDescent="0.2">
      <c r="A291" s="25" t="s">
        <v>0</v>
      </c>
    </row>
    <row r="292" spans="1:1" ht="31.5" x14ac:dyDescent="0.2">
      <c r="A292" s="25" t="s">
        <v>1</v>
      </c>
    </row>
    <row r="293" spans="1:1" x14ac:dyDescent="0.2">
      <c r="A293" s="25" t="s">
        <v>209</v>
      </c>
    </row>
    <row r="294" spans="1:1" x14ac:dyDescent="0.2">
      <c r="A294" s="25" t="s">
        <v>210</v>
      </c>
    </row>
    <row r="295" spans="1:1" ht="31.5" x14ac:dyDescent="0.2">
      <c r="A295" s="25" t="s">
        <v>211</v>
      </c>
    </row>
    <row r="296" spans="1:1" x14ac:dyDescent="0.2">
      <c r="A296" s="25" t="s">
        <v>954</v>
      </c>
    </row>
    <row r="297" spans="1:1" x14ac:dyDescent="0.2">
      <c r="A297" s="25" t="s">
        <v>955</v>
      </c>
    </row>
    <row r="298" spans="1:1" x14ac:dyDescent="0.2">
      <c r="A298" s="25" t="s">
        <v>956</v>
      </c>
    </row>
    <row r="299" spans="1:1" x14ac:dyDescent="0.2">
      <c r="A299" s="25" t="s">
        <v>957</v>
      </c>
    </row>
    <row r="300" spans="1:1" ht="19.5" customHeight="1" x14ac:dyDescent="0.2">
      <c r="A300" s="25" t="s">
        <v>958</v>
      </c>
    </row>
    <row r="301" spans="1:1" ht="18" customHeight="1" x14ac:dyDescent="0.2">
      <c r="A301" s="25" t="s">
        <v>959</v>
      </c>
    </row>
    <row r="302" spans="1:1" x14ac:dyDescent="0.2">
      <c r="A302" s="25" t="s">
        <v>960</v>
      </c>
    </row>
    <row r="303" spans="1:1" x14ac:dyDescent="0.2">
      <c r="A303" s="25" t="s">
        <v>13</v>
      </c>
    </row>
    <row r="304" spans="1:1" x14ac:dyDescent="0.2">
      <c r="A304" s="25" t="s">
        <v>14</v>
      </c>
    </row>
    <row r="305" spans="1:1" ht="31.5" x14ac:dyDescent="0.2">
      <c r="A305" s="25" t="s">
        <v>961</v>
      </c>
    </row>
    <row r="306" spans="1:1" x14ac:dyDescent="0.2">
      <c r="A306" s="25" t="s">
        <v>962</v>
      </c>
    </row>
    <row r="308" spans="1:1" x14ac:dyDescent="0.2">
      <c r="A308" s="25" t="s">
        <v>963</v>
      </c>
    </row>
    <row r="309" spans="1:1" x14ac:dyDescent="0.2">
      <c r="A309" s="25" t="s">
        <v>964</v>
      </c>
    </row>
  </sheetData>
  <sheetProtection sheet="1" objects="1" scenarios="1"/>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topLeftCell="A20" zoomScale="80" zoomScaleNormal="80" workbookViewId="0">
      <selection activeCell="B38" sqref="B38:E38"/>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652" t="s">
        <v>675</v>
      </c>
      <c r="B1" s="652"/>
      <c r="C1" s="652"/>
      <c r="D1" s="652"/>
      <c r="E1" s="652"/>
      <c r="F1" s="652"/>
      <c r="H1" s="653" t="s">
        <v>676</v>
      </c>
      <c r="I1" s="653"/>
      <c r="J1" s="653"/>
      <c r="K1" s="653"/>
    </row>
    <row r="2" spans="1:14" ht="20.25" customHeight="1" x14ac:dyDescent="0.2">
      <c r="A2" s="652"/>
      <c r="B2" s="652"/>
      <c r="C2" s="652"/>
      <c r="D2" s="652"/>
      <c r="E2" s="652"/>
      <c r="F2" s="652"/>
      <c r="H2" s="653"/>
      <c r="I2" s="653"/>
      <c r="J2" s="653"/>
      <c r="K2" s="653"/>
    </row>
    <row r="3" spans="1:14" ht="18" customHeight="1" x14ac:dyDescent="0.2">
      <c r="A3" s="654" t="s">
        <v>677</v>
      </c>
      <c r="B3" s="654"/>
      <c r="C3" s="654"/>
      <c r="D3" s="654"/>
      <c r="E3" s="654"/>
      <c r="F3" s="654"/>
      <c r="H3" s="247" t="s">
        <v>344</v>
      </c>
      <c r="I3" s="655" t="s">
        <v>345</v>
      </c>
      <c r="J3" s="656"/>
      <c r="K3" s="657"/>
    </row>
    <row r="4" spans="1:14" ht="18" customHeight="1" x14ac:dyDescent="0.25">
      <c r="A4" s="654"/>
      <c r="B4" s="654"/>
      <c r="C4" s="654"/>
      <c r="D4" s="654"/>
      <c r="E4" s="654"/>
      <c r="F4" s="654"/>
      <c r="H4" s="247"/>
      <c r="I4" s="247"/>
    </row>
    <row r="5" spans="1:14" ht="18" customHeight="1" x14ac:dyDescent="0.2">
      <c r="A5" s="654"/>
      <c r="B5" s="654"/>
      <c r="C5" s="654"/>
      <c r="D5" s="654"/>
      <c r="E5" s="654"/>
      <c r="F5" s="654"/>
      <c r="H5" s="247" t="s">
        <v>278</v>
      </c>
      <c r="I5" s="655" t="s">
        <v>678</v>
      </c>
      <c r="J5" s="656"/>
      <c r="K5" s="657"/>
    </row>
    <row r="6" spans="1:14" ht="18" customHeight="1" x14ac:dyDescent="0.25">
      <c r="A6" s="654"/>
      <c r="B6" s="654"/>
      <c r="C6" s="654"/>
      <c r="D6" s="654"/>
      <c r="E6" s="654"/>
      <c r="F6" s="654"/>
      <c r="H6" s="247"/>
      <c r="I6" s="247"/>
    </row>
    <row r="7" spans="1:14" ht="18" customHeight="1" x14ac:dyDescent="0.2">
      <c r="A7" s="654"/>
      <c r="B7" s="654"/>
      <c r="C7" s="654"/>
      <c r="D7" s="654"/>
      <c r="E7" s="654"/>
      <c r="F7" s="654"/>
      <c r="H7" s="247" t="s">
        <v>279</v>
      </c>
      <c r="I7" s="655" t="s">
        <v>282</v>
      </c>
      <c r="J7" s="656"/>
      <c r="K7" s="657"/>
    </row>
    <row r="8" spans="1:14" ht="18" customHeight="1" x14ac:dyDescent="0.25">
      <c r="A8" s="654"/>
      <c r="B8" s="654"/>
      <c r="C8" s="654"/>
      <c r="D8" s="654"/>
      <c r="E8" s="654"/>
      <c r="F8" s="654"/>
      <c r="H8" s="247"/>
      <c r="I8" s="247"/>
    </row>
    <row r="9" spans="1:14" ht="18" customHeight="1" x14ac:dyDescent="0.2">
      <c r="A9" s="654"/>
      <c r="B9" s="654"/>
      <c r="C9" s="654"/>
      <c r="D9" s="654"/>
      <c r="E9" s="654"/>
      <c r="F9" s="654"/>
      <c r="H9" s="247" t="s">
        <v>280</v>
      </c>
      <c r="I9" s="655" t="s">
        <v>283</v>
      </c>
      <c r="J9" s="656"/>
      <c r="K9" s="657"/>
    </row>
    <row r="10" spans="1:14" ht="18" customHeight="1" x14ac:dyDescent="0.25">
      <c r="A10" s="654"/>
      <c r="B10" s="654"/>
      <c r="C10" s="654"/>
      <c r="D10" s="654"/>
      <c r="E10" s="654"/>
      <c r="F10" s="654"/>
      <c r="H10" s="247"/>
      <c r="I10" s="247"/>
    </row>
    <row r="11" spans="1:14" ht="18" customHeight="1" x14ac:dyDescent="0.2">
      <c r="A11" s="654"/>
      <c r="B11" s="654"/>
      <c r="C11" s="654"/>
      <c r="D11" s="654"/>
      <c r="E11" s="654"/>
      <c r="F11" s="654"/>
      <c r="H11" s="247" t="s">
        <v>281</v>
      </c>
      <c r="I11" s="655" t="s">
        <v>283</v>
      </c>
      <c r="J11" s="656"/>
      <c r="K11" s="657"/>
    </row>
    <row r="12" spans="1:14" ht="18" customHeight="1" x14ac:dyDescent="0.25">
      <c r="A12" s="654"/>
      <c r="B12" s="654"/>
      <c r="C12" s="654"/>
      <c r="D12" s="654"/>
      <c r="E12" s="654"/>
      <c r="F12" s="654"/>
    </row>
    <row r="13" spans="1:14" ht="21" customHeight="1" x14ac:dyDescent="0.3">
      <c r="A13" s="653" t="s">
        <v>679</v>
      </c>
      <c r="B13" s="653"/>
      <c r="C13" s="653"/>
      <c r="D13" s="653"/>
      <c r="E13" s="653"/>
      <c r="F13" s="653"/>
      <c r="G13" s="653"/>
      <c r="H13" s="653"/>
      <c r="I13" s="653"/>
      <c r="J13" s="653"/>
      <c r="K13" s="653"/>
      <c r="M13" s="560"/>
      <c r="N13" s="560"/>
    </row>
    <row r="14" spans="1:14" x14ac:dyDescent="0.25">
      <c r="A14" s="561" t="s">
        <v>421</v>
      </c>
      <c r="B14" s="655"/>
      <c r="C14" s="656"/>
      <c r="D14" s="656"/>
      <c r="E14" s="657"/>
      <c r="H14" s="658" t="s">
        <v>680</v>
      </c>
      <c r="I14" s="658"/>
      <c r="J14" s="658"/>
      <c r="K14" s="658"/>
    </row>
    <row r="15" spans="1:14" x14ac:dyDescent="0.25">
      <c r="A15" s="561"/>
      <c r="B15" s="562"/>
      <c r="C15" s="563"/>
      <c r="D15" s="563"/>
      <c r="E15" s="563"/>
      <c r="H15" s="658"/>
      <c r="I15" s="658"/>
      <c r="J15" s="658"/>
      <c r="K15" s="658"/>
    </row>
    <row r="16" spans="1:14" x14ac:dyDescent="0.25">
      <c r="A16" s="561" t="s">
        <v>344</v>
      </c>
      <c r="B16" s="655"/>
      <c r="C16" s="656"/>
      <c r="D16" s="656"/>
      <c r="E16" s="657"/>
      <c r="H16" s="658"/>
      <c r="I16" s="658"/>
      <c r="J16" s="658"/>
      <c r="K16" s="658"/>
    </row>
    <row r="17" spans="1:13" x14ac:dyDescent="0.25">
      <c r="A17" s="564"/>
      <c r="B17" s="565"/>
      <c r="C17" s="565"/>
      <c r="D17" s="563"/>
      <c r="E17" s="565"/>
      <c r="F17" s="246"/>
      <c r="H17" s="658"/>
      <c r="I17" s="658"/>
      <c r="J17" s="658"/>
      <c r="K17" s="658"/>
    </row>
    <row r="18" spans="1:13" x14ac:dyDescent="0.25">
      <c r="A18" s="566" t="s">
        <v>278</v>
      </c>
      <c r="B18" s="655"/>
      <c r="C18" s="656"/>
      <c r="D18" s="656"/>
      <c r="E18" s="657"/>
      <c r="F18" s="246"/>
      <c r="H18" s="658"/>
      <c r="I18" s="658"/>
      <c r="J18" s="658"/>
      <c r="K18" s="658"/>
    </row>
    <row r="19" spans="1:13" x14ac:dyDescent="0.25">
      <c r="A19" s="567" t="s">
        <v>681</v>
      </c>
      <c r="B19" s="563"/>
      <c r="C19" s="563"/>
      <c r="D19" s="247"/>
      <c r="E19" s="565"/>
      <c r="F19" s="246"/>
      <c r="H19" s="658"/>
      <c r="I19" s="658"/>
      <c r="J19" s="658"/>
      <c r="K19" s="658"/>
    </row>
    <row r="20" spans="1:13" x14ac:dyDescent="0.25">
      <c r="A20" s="566" t="s">
        <v>279</v>
      </c>
      <c r="B20" s="655"/>
      <c r="C20" s="656"/>
      <c r="D20" s="656"/>
      <c r="E20" s="657"/>
      <c r="F20" s="246"/>
      <c r="H20" s="658"/>
      <c r="I20" s="658"/>
      <c r="J20" s="658"/>
      <c r="K20" s="658"/>
    </row>
    <row r="21" spans="1:13" x14ac:dyDescent="0.25">
      <c r="A21" s="566"/>
      <c r="B21" s="247"/>
      <c r="C21" s="247"/>
      <c r="D21" s="247"/>
      <c r="E21" s="565"/>
      <c r="F21" s="246"/>
      <c r="H21" s="658"/>
      <c r="I21" s="658"/>
      <c r="J21" s="658"/>
      <c r="K21" s="658"/>
    </row>
    <row r="22" spans="1:13" x14ac:dyDescent="0.25">
      <c r="A22" s="566" t="s">
        <v>280</v>
      </c>
      <c r="B22" s="659"/>
      <c r="C22" s="660"/>
      <c r="D22" s="660"/>
      <c r="E22" s="661"/>
      <c r="F22" s="246"/>
      <c r="H22" s="658"/>
      <c r="I22" s="658"/>
      <c r="J22" s="658"/>
      <c r="K22" s="658"/>
    </row>
    <row r="23" spans="1:13" x14ac:dyDescent="0.25">
      <c r="A23" s="566"/>
      <c r="B23" s="247"/>
      <c r="C23" s="247"/>
      <c r="D23" s="247"/>
      <c r="E23" s="565"/>
      <c r="F23" s="246"/>
      <c r="H23" s="658"/>
      <c r="I23" s="658"/>
      <c r="J23" s="658"/>
      <c r="K23" s="658"/>
    </row>
    <row r="24" spans="1:13" x14ac:dyDescent="0.25">
      <c r="A24" s="566" t="s">
        <v>682</v>
      </c>
      <c r="B24" s="659"/>
      <c r="C24" s="660"/>
      <c r="D24" s="660"/>
      <c r="E24" s="661"/>
      <c r="F24" s="246"/>
      <c r="H24" s="658"/>
      <c r="I24" s="658"/>
      <c r="J24" s="658"/>
      <c r="K24" s="658"/>
    </row>
    <row r="27" spans="1:13" ht="21" customHeight="1" x14ac:dyDescent="0.2">
      <c r="A27" s="653" t="s">
        <v>683</v>
      </c>
      <c r="B27" s="653"/>
      <c r="C27" s="653"/>
      <c r="D27" s="653"/>
      <c r="E27" s="653"/>
      <c r="F27" s="653"/>
      <c r="G27" s="653"/>
      <c r="H27" s="653"/>
      <c r="I27" s="653"/>
      <c r="J27" s="653"/>
      <c r="K27" s="653"/>
    </row>
    <row r="28" spans="1:13" ht="15.75" customHeight="1" x14ac:dyDescent="0.25">
      <c r="A28" s="561" t="s">
        <v>421</v>
      </c>
      <c r="B28" s="655" t="s">
        <v>1047</v>
      </c>
      <c r="C28" s="656"/>
      <c r="D28" s="656"/>
      <c r="E28" s="657"/>
      <c r="H28" s="658" t="s">
        <v>684</v>
      </c>
      <c r="I28" s="658"/>
      <c r="J28" s="658"/>
      <c r="K28" s="658"/>
      <c r="M28" t="s">
        <v>685</v>
      </c>
    </row>
    <row r="29" spans="1:13" x14ac:dyDescent="0.25">
      <c r="A29" s="561"/>
      <c r="B29" s="562"/>
      <c r="H29" s="658"/>
      <c r="I29" s="658"/>
      <c r="J29" s="658"/>
      <c r="K29" s="658"/>
    </row>
    <row r="30" spans="1:13" x14ac:dyDescent="0.25">
      <c r="A30" s="561" t="s">
        <v>344</v>
      </c>
      <c r="B30" s="655" t="s">
        <v>1048</v>
      </c>
      <c r="C30" s="656"/>
      <c r="D30" s="656"/>
      <c r="E30" s="657"/>
      <c r="H30" s="658"/>
      <c r="I30" s="658"/>
      <c r="J30" s="658"/>
      <c r="K30" s="658"/>
    </row>
    <row r="31" spans="1:13" x14ac:dyDescent="0.25">
      <c r="A31" s="564"/>
      <c r="B31" s="246"/>
      <c r="C31" s="246"/>
      <c r="E31" s="246"/>
      <c r="F31" s="246"/>
      <c r="H31" s="658"/>
      <c r="I31" s="658"/>
      <c r="J31" s="658"/>
      <c r="K31" s="658"/>
    </row>
    <row r="32" spans="1:13" x14ac:dyDescent="0.25">
      <c r="A32" s="566" t="s">
        <v>278</v>
      </c>
      <c r="B32" s="655" t="s">
        <v>1049</v>
      </c>
      <c r="C32" s="656"/>
      <c r="D32" s="656"/>
      <c r="E32" s="657"/>
      <c r="F32" s="246"/>
      <c r="H32" s="658"/>
      <c r="I32" s="658"/>
      <c r="J32" s="658"/>
      <c r="K32" s="658"/>
    </row>
    <row r="33" spans="1:11" x14ac:dyDescent="0.25">
      <c r="A33" s="567" t="s">
        <v>681</v>
      </c>
      <c r="D33" s="247"/>
      <c r="E33" s="246"/>
      <c r="F33" s="246"/>
      <c r="H33" s="658"/>
      <c r="I33" s="658"/>
      <c r="J33" s="658"/>
      <c r="K33" s="658"/>
    </row>
    <row r="34" spans="1:11" x14ac:dyDescent="0.25">
      <c r="A34" s="566" t="s">
        <v>279</v>
      </c>
      <c r="B34" s="655" t="s">
        <v>1050</v>
      </c>
      <c r="C34" s="656"/>
      <c r="D34" s="656"/>
      <c r="E34" s="657"/>
      <c r="F34" s="246"/>
      <c r="H34" s="658"/>
      <c r="I34" s="658"/>
      <c r="J34" s="658"/>
      <c r="K34" s="658"/>
    </row>
    <row r="35" spans="1:11" x14ac:dyDescent="0.25">
      <c r="A35" s="566"/>
      <c r="B35" s="247"/>
      <c r="C35" s="247"/>
      <c r="D35" s="247"/>
      <c r="E35" s="246"/>
      <c r="F35" s="246"/>
      <c r="H35" s="658"/>
      <c r="I35" s="658"/>
      <c r="J35" s="658"/>
      <c r="K35" s="658"/>
    </row>
    <row r="36" spans="1:11" x14ac:dyDescent="0.25">
      <c r="A36" s="566" t="s">
        <v>280</v>
      </c>
      <c r="B36" s="659" t="s">
        <v>283</v>
      </c>
      <c r="C36" s="660"/>
      <c r="D36" s="660"/>
      <c r="E36" s="661"/>
      <c r="F36" s="246"/>
      <c r="H36" s="658"/>
      <c r="I36" s="658"/>
      <c r="J36" s="658"/>
      <c r="K36" s="658"/>
    </row>
    <row r="37" spans="1:11" x14ac:dyDescent="0.25">
      <c r="A37" s="566"/>
      <c r="B37" s="247"/>
      <c r="C37" s="247"/>
      <c r="D37" s="247"/>
      <c r="E37" s="246"/>
      <c r="F37" s="246"/>
      <c r="H37" s="658"/>
      <c r="I37" s="658"/>
      <c r="J37" s="658"/>
      <c r="K37" s="658"/>
    </row>
    <row r="38" spans="1:11" x14ac:dyDescent="0.25">
      <c r="A38" s="566" t="s">
        <v>682</v>
      </c>
      <c r="B38" s="659" t="s">
        <v>283</v>
      </c>
      <c r="C38" s="660"/>
      <c r="D38" s="660"/>
      <c r="E38" s="661"/>
      <c r="F38" s="246"/>
      <c r="H38" s="658"/>
      <c r="I38" s="658"/>
      <c r="J38" s="658"/>
      <c r="K38" s="658"/>
    </row>
    <row r="39" spans="1:11" ht="15.75" customHeight="1" x14ac:dyDescent="0.2">
      <c r="H39" s="658"/>
      <c r="I39" s="658"/>
      <c r="J39" s="658"/>
      <c r="K39" s="658"/>
    </row>
    <row r="41" spans="1:11" ht="21" customHeight="1" x14ac:dyDescent="0.2">
      <c r="A41" s="653" t="s">
        <v>686</v>
      </c>
      <c r="B41" s="653"/>
      <c r="C41" s="653"/>
      <c r="D41" s="653"/>
      <c r="E41" s="653"/>
      <c r="F41" s="653"/>
      <c r="G41" s="653"/>
      <c r="H41" s="653"/>
      <c r="I41" s="653"/>
      <c r="J41" s="653"/>
      <c r="K41" s="653"/>
    </row>
    <row r="42" spans="1:11" ht="15.75" customHeight="1" x14ac:dyDescent="0.25">
      <c r="A42" s="566" t="s">
        <v>278</v>
      </c>
      <c r="B42" s="655"/>
      <c r="C42" s="656"/>
      <c r="D42" s="656"/>
      <c r="E42" s="657"/>
      <c r="F42" s="246"/>
      <c r="H42" s="658" t="s">
        <v>687</v>
      </c>
      <c r="I42" s="658"/>
      <c r="J42" s="658"/>
      <c r="K42" s="658"/>
    </row>
    <row r="43" spans="1:11" x14ac:dyDescent="0.25">
      <c r="A43" s="567" t="s">
        <v>681</v>
      </c>
      <c r="B43" s="563"/>
      <c r="C43" s="563"/>
      <c r="D43" s="247"/>
      <c r="E43" s="565"/>
      <c r="F43" s="246"/>
      <c r="H43" s="658"/>
      <c r="I43" s="658"/>
      <c r="J43" s="658"/>
      <c r="K43" s="658"/>
    </row>
    <row r="44" spans="1:11" x14ac:dyDescent="0.25">
      <c r="A44" s="566" t="s">
        <v>279</v>
      </c>
      <c r="B44" s="655"/>
      <c r="C44" s="656"/>
      <c r="D44" s="656"/>
      <c r="E44" s="657"/>
      <c r="F44" s="246"/>
      <c r="H44" s="658"/>
      <c r="I44" s="658"/>
      <c r="J44" s="658"/>
      <c r="K44" s="658"/>
    </row>
    <row r="45" spans="1:11" x14ac:dyDescent="0.25">
      <c r="A45" s="566"/>
      <c r="B45" s="247"/>
      <c r="C45" s="247"/>
      <c r="D45" s="247"/>
      <c r="E45" s="565"/>
      <c r="F45" s="246"/>
      <c r="H45" s="658"/>
      <c r="I45" s="658"/>
      <c r="J45" s="658"/>
      <c r="K45" s="658"/>
    </row>
    <row r="46" spans="1:11" x14ac:dyDescent="0.25">
      <c r="A46" s="566" t="s">
        <v>280</v>
      </c>
      <c r="B46" s="659"/>
      <c r="C46" s="660"/>
      <c r="D46" s="660"/>
      <c r="E46" s="661"/>
      <c r="F46" s="246"/>
      <c r="H46" s="658"/>
      <c r="I46" s="658"/>
      <c r="J46" s="658"/>
      <c r="K46" s="658"/>
    </row>
    <row r="47" spans="1:11" ht="15.75" customHeight="1" x14ac:dyDescent="0.2">
      <c r="H47" s="658"/>
      <c r="I47" s="658"/>
      <c r="J47" s="658"/>
      <c r="K47" s="658"/>
    </row>
    <row r="48" spans="1:11" ht="15.75" customHeight="1" x14ac:dyDescent="0.2">
      <c r="H48" s="658"/>
      <c r="I48" s="658"/>
      <c r="J48" s="658"/>
      <c r="K48" s="658"/>
    </row>
    <row r="49" spans="8:11" ht="15.75" customHeight="1" x14ac:dyDescent="0.2">
      <c r="H49" s="658"/>
      <c r="I49" s="658"/>
      <c r="J49" s="658"/>
      <c r="K49" s="658"/>
    </row>
  </sheetData>
  <sheetProtection sheet="1" objects="1" scenarios="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pageSetup scale="51"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40"/>
  <sheetViews>
    <sheetView workbookViewId="0">
      <selection activeCell="B1" sqref="B1"/>
    </sheetView>
  </sheetViews>
  <sheetFormatPr defaultRowHeight="15" x14ac:dyDescent="0.2"/>
  <cols>
    <col min="1" max="1" width="77.33203125" customWidth="1"/>
  </cols>
  <sheetData>
    <row r="1" spans="1:1" ht="15.75" customHeight="1" x14ac:dyDescent="0.2">
      <c r="A1" s="662" t="s">
        <v>539</v>
      </c>
    </row>
    <row r="2" spans="1:1" ht="15.75" customHeight="1" x14ac:dyDescent="0.2">
      <c r="A2" s="662"/>
    </row>
    <row r="3" spans="1:1" ht="15.75" customHeight="1" x14ac:dyDescent="0.2">
      <c r="A3" s="662"/>
    </row>
    <row r="4" spans="1:1" ht="15.75" customHeight="1" x14ac:dyDescent="0.2">
      <c r="A4" s="662"/>
    </row>
    <row r="5" spans="1:1" ht="15.75" customHeight="1" x14ac:dyDescent="0.2">
      <c r="A5" s="662"/>
    </row>
    <row r="6" spans="1:1" ht="15.75" customHeight="1" x14ac:dyDescent="0.2">
      <c r="A6" s="662"/>
    </row>
    <row r="7" spans="1:1" ht="15.75" customHeight="1" x14ac:dyDescent="0.2">
      <c r="A7" s="662"/>
    </row>
    <row r="8" spans="1:1" ht="15.75" customHeight="1" x14ac:dyDescent="0.2">
      <c r="A8" s="662"/>
    </row>
    <row r="9" spans="1:1" ht="15.75" customHeight="1" x14ac:dyDescent="0.2">
      <c r="A9" s="662"/>
    </row>
    <row r="10" spans="1:1" ht="15.75" customHeight="1" x14ac:dyDescent="0.2">
      <c r="A10" s="662"/>
    </row>
    <row r="11" spans="1:1" ht="15.75" customHeight="1" x14ac:dyDescent="0.2">
      <c r="A11" s="662"/>
    </row>
    <row r="12" spans="1:1" ht="15.75" customHeight="1" x14ac:dyDescent="0.2">
      <c r="A12" s="662"/>
    </row>
    <row r="13" spans="1:1" ht="15.75" customHeight="1" x14ac:dyDescent="0.2">
      <c r="A13" s="662"/>
    </row>
    <row r="14" spans="1:1" ht="15.75" customHeight="1" x14ac:dyDescent="0.2">
      <c r="A14" s="662"/>
    </row>
    <row r="15" spans="1:1" ht="15.75" customHeight="1" x14ac:dyDescent="0.2">
      <c r="A15" s="662"/>
    </row>
    <row r="16" spans="1:1" ht="15.75" customHeight="1" x14ac:dyDescent="0.2">
      <c r="A16" s="662"/>
    </row>
    <row r="17" spans="1:1" ht="15.75" customHeight="1" x14ac:dyDescent="0.2">
      <c r="A17" s="662"/>
    </row>
    <row r="18" spans="1:1" ht="15.75" customHeight="1" x14ac:dyDescent="0.2">
      <c r="A18" s="662"/>
    </row>
    <row r="19" spans="1:1" ht="15.75" customHeight="1" x14ac:dyDescent="0.2">
      <c r="A19" s="662"/>
    </row>
    <row r="20" spans="1:1" ht="15.75" customHeight="1" x14ac:dyDescent="0.2">
      <c r="A20" s="662"/>
    </row>
    <row r="21" spans="1:1" ht="15.75" customHeight="1" x14ac:dyDescent="0.2">
      <c r="A21" s="662"/>
    </row>
    <row r="22" spans="1:1" ht="15.75" customHeight="1" x14ac:dyDescent="0.2">
      <c r="A22" s="662"/>
    </row>
    <row r="23" spans="1:1" ht="15.75" customHeight="1" x14ac:dyDescent="0.2">
      <c r="A23" s="662"/>
    </row>
    <row r="24" spans="1:1" ht="15.75" customHeight="1" x14ac:dyDescent="0.2">
      <c r="A24" s="662"/>
    </row>
    <row r="25" spans="1:1" ht="15.75" customHeight="1" x14ac:dyDescent="0.2">
      <c r="A25" s="662"/>
    </row>
    <row r="26" spans="1:1" ht="15.75" customHeight="1" x14ac:dyDescent="0.2">
      <c r="A26" s="662"/>
    </row>
    <row r="27" spans="1:1" ht="15.75" customHeight="1" x14ac:dyDescent="0.2">
      <c r="A27" s="662"/>
    </row>
    <row r="28" spans="1:1" ht="15.75" customHeight="1" x14ac:dyDescent="0.2">
      <c r="A28" s="662"/>
    </row>
    <row r="29" spans="1:1" ht="15.75" customHeight="1" x14ac:dyDescent="0.2">
      <c r="A29" s="662"/>
    </row>
    <row r="30" spans="1:1" ht="15.75" customHeight="1" x14ac:dyDescent="0.2">
      <c r="A30" s="662"/>
    </row>
    <row r="31" spans="1:1" ht="15.75" customHeight="1" x14ac:dyDescent="0.2">
      <c r="A31" s="662"/>
    </row>
    <row r="32" spans="1:1" ht="15.75" customHeight="1" x14ac:dyDescent="0.2">
      <c r="A32" s="662"/>
    </row>
    <row r="33" spans="1:1" ht="15.75" customHeight="1" x14ac:dyDescent="0.2">
      <c r="A33" s="662"/>
    </row>
    <row r="34" spans="1:1" ht="15.75" customHeight="1" x14ac:dyDescent="0.2">
      <c r="A34" s="662"/>
    </row>
    <row r="35" spans="1:1" ht="15.75" customHeight="1" x14ac:dyDescent="0.2">
      <c r="A35" s="662"/>
    </row>
    <row r="36" spans="1:1" ht="15.75" customHeight="1" x14ac:dyDescent="0.2">
      <c r="A36" s="662"/>
    </row>
    <row r="37" spans="1:1" ht="15.75" customHeight="1" x14ac:dyDescent="0.2">
      <c r="A37" s="662"/>
    </row>
    <row r="38" spans="1:1" ht="15.75" customHeight="1" x14ac:dyDescent="0.2">
      <c r="A38" s="662"/>
    </row>
    <row r="39" spans="1:1" ht="15.75" customHeight="1" x14ac:dyDescent="0.2">
      <c r="A39" s="662"/>
    </row>
    <row r="40" spans="1:1" ht="15.75" customHeight="1" x14ac:dyDescent="0.2">
      <c r="A40" s="662"/>
    </row>
  </sheetData>
  <sheetProtection sheet="1" objects="1" scenarios="1"/>
  <mergeCells count="1">
    <mergeCell ref="A1:A40"/>
  </mergeCells>
  <pageMargins left="0.7" right="0.7" top="0.75" bottom="0.75" header="0.3" footer="0.3"/>
  <pageSetup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04"/>
  <sheetViews>
    <sheetView topLeftCell="A10" workbookViewId="0">
      <selection activeCell="F19" sqref="F19"/>
    </sheetView>
  </sheetViews>
  <sheetFormatPr defaultColWidth="8.88671875" defaultRowHeight="15.75" x14ac:dyDescent="0.2"/>
  <cols>
    <col min="1" max="1" width="24.33203125" style="26" customWidth="1"/>
    <col min="2" max="2" width="10.77734375" style="26" customWidth="1"/>
    <col min="3" max="3" width="5.77734375" style="26" customWidth="1"/>
    <col min="4" max="4" width="14" style="26" customWidth="1"/>
    <col min="5" max="5" width="13.33203125" style="26" customWidth="1"/>
    <col min="6" max="6" width="12.33203125" style="26" customWidth="1"/>
    <col min="7" max="16384" width="8.88671875" style="64"/>
  </cols>
  <sheetData>
    <row r="1" spans="1:7" x14ac:dyDescent="0.2">
      <c r="A1" s="28"/>
      <c r="B1" s="28"/>
      <c r="C1" s="27" t="s">
        <v>118</v>
      </c>
      <c r="D1" s="28"/>
      <c r="E1" s="28"/>
      <c r="F1" s="80"/>
      <c r="G1" s="24">
        <f>inputPrYr!C6</f>
        <v>2024</v>
      </c>
    </row>
    <row r="2" spans="1:7" x14ac:dyDescent="0.2">
      <c r="A2" s="664" t="str">
        <f>CONCATENATE("To the Clerk of ",(inputPrYr!D4),", State of Kansas")</f>
        <v>To the Clerk of Franklin, State of Kansas</v>
      </c>
      <c r="B2" s="636"/>
      <c r="C2" s="636"/>
      <c r="D2" s="636"/>
      <c r="E2" s="636"/>
      <c r="F2" s="636"/>
    </row>
    <row r="3" spans="1:7" x14ac:dyDescent="0.2">
      <c r="A3" s="81" t="s">
        <v>318</v>
      </c>
      <c r="B3" s="33"/>
      <c r="C3" s="33"/>
      <c r="D3" s="33"/>
      <c r="E3" s="33"/>
      <c r="F3" s="33"/>
    </row>
    <row r="4" spans="1:7" x14ac:dyDescent="0.2">
      <c r="A4" s="635" t="str">
        <f>(inputPrYr!D3)</f>
        <v>Wellsville</v>
      </c>
      <c r="B4" s="663"/>
      <c r="C4" s="663"/>
      <c r="D4" s="663"/>
      <c r="E4" s="663"/>
      <c r="F4" s="663"/>
    </row>
    <row r="5" spans="1:7" x14ac:dyDescent="0.2">
      <c r="A5" s="81" t="s">
        <v>38</v>
      </c>
      <c r="B5" s="33"/>
      <c r="C5" s="33"/>
      <c r="D5" s="33"/>
      <c r="E5" s="33"/>
      <c r="F5" s="33"/>
    </row>
    <row r="6" spans="1:7" x14ac:dyDescent="0.2">
      <c r="A6" s="81" t="s">
        <v>39</v>
      </c>
      <c r="B6" s="33"/>
      <c r="C6" s="33"/>
      <c r="D6" s="33"/>
      <c r="E6" s="33"/>
      <c r="F6" s="33"/>
    </row>
    <row r="7" spans="1:7" x14ac:dyDescent="0.2">
      <c r="A7" s="81" t="str">
        <f>CONCATENATE("maximum expenditures for the various funds for the year ",G1,"; and")</f>
        <v>maximum expenditures for the various funds for the year 2024; and</v>
      </c>
      <c r="B7" s="33"/>
      <c r="C7" s="33"/>
      <c r="D7" s="33"/>
      <c r="E7" s="33"/>
      <c r="F7" s="33"/>
    </row>
    <row r="8" spans="1:7" x14ac:dyDescent="0.2">
      <c r="A8" s="81" t="str">
        <f>CONCATENATE("(3) the Amounts(s) of ",G1-1," Ad Valorem Tax are within statutory limitations.")</f>
        <v>(3) the Amounts(s) of 2023 Ad Valorem Tax are within statutory limitations.</v>
      </c>
      <c r="B8" s="33"/>
      <c r="C8" s="33"/>
      <c r="D8" s="33"/>
      <c r="E8" s="33"/>
      <c r="F8" s="33"/>
    </row>
    <row r="9" spans="1:7" x14ac:dyDescent="0.2">
      <c r="A9" s="28"/>
      <c r="B9" s="28"/>
      <c r="C9" s="28"/>
      <c r="D9" s="82" t="str">
        <f>CONCATENATE("",G1," Adopted Budget")</f>
        <v>2024 Adopted Budget</v>
      </c>
      <c r="E9" s="83"/>
      <c r="F9" s="84"/>
    </row>
    <row r="10" spans="1:7" ht="21" customHeight="1" x14ac:dyDescent="0.2">
      <c r="A10" s="28"/>
      <c r="B10" s="28"/>
      <c r="C10" s="85"/>
      <c r="D10" s="86" t="s">
        <v>40</v>
      </c>
      <c r="E10" s="87" t="str">
        <f>CONCATENATE("Amount of ",G1-1,"")</f>
        <v>Amount of 2023</v>
      </c>
      <c r="F10" s="673" t="s">
        <v>735</v>
      </c>
    </row>
    <row r="11" spans="1:7" x14ac:dyDescent="0.2">
      <c r="A11" s="29"/>
      <c r="B11" s="28"/>
      <c r="C11" s="87" t="s">
        <v>41</v>
      </c>
      <c r="D11" s="291" t="s">
        <v>5</v>
      </c>
      <c r="E11" s="89" t="s">
        <v>173</v>
      </c>
      <c r="F11" s="674"/>
    </row>
    <row r="12" spans="1:7" x14ac:dyDescent="0.2">
      <c r="A12" s="90" t="s">
        <v>42</v>
      </c>
      <c r="B12" s="43"/>
      <c r="C12" s="91" t="s">
        <v>43</v>
      </c>
      <c r="D12" s="292" t="s">
        <v>324</v>
      </c>
      <c r="E12" s="92" t="s">
        <v>174</v>
      </c>
      <c r="F12" s="675"/>
    </row>
    <row r="13" spans="1:7" x14ac:dyDescent="0.2">
      <c r="A13" s="93" t="s">
        <v>478</v>
      </c>
      <c r="B13" s="43"/>
      <c r="C13" s="91">
        <v>2</v>
      </c>
      <c r="D13" s="88"/>
      <c r="E13" s="88"/>
      <c r="F13" s="88"/>
    </row>
    <row r="14" spans="1:7" x14ac:dyDescent="0.2">
      <c r="A14" s="93" t="s">
        <v>141</v>
      </c>
      <c r="B14" s="43"/>
      <c r="C14" s="91">
        <v>3</v>
      </c>
      <c r="D14" s="88"/>
      <c r="E14" s="88"/>
      <c r="F14" s="88"/>
    </row>
    <row r="15" spans="1:7" x14ac:dyDescent="0.2">
      <c r="A15" s="93" t="s">
        <v>44</v>
      </c>
      <c r="B15" s="54"/>
      <c r="C15" s="94">
        <v>4</v>
      </c>
      <c r="D15" s="96"/>
      <c r="E15" s="96"/>
      <c r="F15" s="96"/>
    </row>
    <row r="16" spans="1:7" x14ac:dyDescent="0.2">
      <c r="A16" s="93" t="s">
        <v>45</v>
      </c>
      <c r="B16" s="54"/>
      <c r="C16" s="94">
        <v>5</v>
      </c>
      <c r="D16" s="96"/>
      <c r="E16" s="96"/>
      <c r="F16" s="96"/>
    </row>
    <row r="17" spans="1:9" x14ac:dyDescent="0.2">
      <c r="A17" s="192" t="str">
        <f>IF(inputPrYr!D20="","","Computation to Determine State Library Grant")</f>
        <v>Computation to Determine State Library Grant</v>
      </c>
      <c r="B17" s="54"/>
      <c r="C17" s="104">
        <f>IF(inputPrYr!D20="","",'Library Grant'!F40)</f>
        <v>7</v>
      </c>
      <c r="D17" s="96"/>
      <c r="E17" s="96"/>
      <c r="F17" s="96"/>
    </row>
    <row r="18" spans="1:9" x14ac:dyDescent="0.2">
      <c r="A18" s="97" t="s">
        <v>46</v>
      </c>
      <c r="B18" s="98" t="s">
        <v>47</v>
      </c>
      <c r="C18" s="99"/>
      <c r="D18" s="100"/>
      <c r="E18" s="100"/>
      <c r="F18" s="100"/>
    </row>
    <row r="19" spans="1:9" x14ac:dyDescent="0.2">
      <c r="A19" s="37" t="s">
        <v>33</v>
      </c>
      <c r="B19" s="101" t="str">
        <f>IF(inputPrYr!C18&gt;0,(inputPrYr!C18),"  ")</f>
        <v>12-101a</v>
      </c>
      <c r="C19" s="94">
        <f>General!C57</f>
        <v>7</v>
      </c>
      <c r="D19" s="446">
        <f>IF(General!$E$108&lt;&gt;0,General!$E$108,"  ")</f>
        <v>1537582</v>
      </c>
      <c r="E19" s="447">
        <f>IF(General!$E$115&lt;&gt;0,General!$E$115,0)</f>
        <v>936812</v>
      </c>
      <c r="F19" s="448" t="str">
        <f>IF($F$58=0,"",ROUND(E19/$F$58*1000,3))</f>
        <v/>
      </c>
    </row>
    <row r="20" spans="1:9" x14ac:dyDescent="0.2">
      <c r="A20" s="37" t="s">
        <v>16</v>
      </c>
      <c r="B20" s="101" t="str">
        <f>IF(inputPrYr!C19&gt;0,(inputPrYr!C19),"  ")</f>
        <v>10-113</v>
      </c>
      <c r="C20" s="94" t="str">
        <f>IF('DebtSvs-Library'!C86&gt;0,'DebtSvs-Library'!C86,"  ")</f>
        <v xml:space="preserve">  </v>
      </c>
      <c r="D20" s="446">
        <f>IF('DebtSvs-Library'!E33&lt;&gt;0,'DebtSvs-Library'!E33,"  ")</f>
        <v>49000</v>
      </c>
      <c r="E20" s="447">
        <f>IF('DebtSvs-Library'!E40&lt;&gt;0,'DebtSvs-Library'!E40,0)</f>
        <v>45070</v>
      </c>
      <c r="F20" s="448" t="str">
        <f>IF($F$58=0,"",ROUND(E20/$F$58*1000,3))</f>
        <v/>
      </c>
    </row>
    <row r="21" spans="1:9" x14ac:dyDescent="0.2">
      <c r="A21" s="52" t="str">
        <f>IF(inputPrYr!$B20&gt;"  ",(inputPrYr!$B20),"  ")</f>
        <v>Library</v>
      </c>
      <c r="B21" s="101" t="str">
        <f>IF(inputPrYr!C20&gt;0,(inputPrYr!C20),"  ")</f>
        <v>12-1220</v>
      </c>
      <c r="C21" s="94" t="str">
        <f>IF('DebtSvs-Library'!C86&gt;0,'DebtSvs-Library'!C86,"  ")</f>
        <v xml:space="preserve">  </v>
      </c>
      <c r="D21" s="446">
        <f>IF('DebtSvs-Library'!E73&lt;&gt;0,'DebtSvs-Library'!E73,"  ")</f>
        <v>106682</v>
      </c>
      <c r="E21" s="447">
        <f>IF('DebtSvs-Library'!E80&lt;&gt;0,'DebtSvs-Library'!E80,0)</f>
        <v>95503</v>
      </c>
      <c r="F21" s="448" t="str">
        <f>IF($F$58=0,"",ROUND(E21/$F$58*1000,3))</f>
        <v/>
      </c>
      <c r="H21" s="355"/>
      <c r="I21" s="355"/>
    </row>
    <row r="22" spans="1:9" x14ac:dyDescent="0.2">
      <c r="A22" s="52" t="str">
        <f>IF(inputPrYr!$B22&gt;"  ",(inputPrYr!$B22),"  ")</f>
        <v>Employee Benefits</v>
      </c>
      <c r="B22" s="101" t="str">
        <f>IF(inputPrYr!C22&gt;0,(inputPrYr!C22),"  ")</f>
        <v>12-16102</v>
      </c>
      <c r="C22" s="94" t="str">
        <f>IF('Employ Benys'!C85&gt;0,'Employ Benys'!C85,"  ")</f>
        <v xml:space="preserve">  </v>
      </c>
      <c r="D22" s="446">
        <f>IF('Employ Benys'!$E$32&gt;0,'Employ Benys'!$E$32,"  ")</f>
        <v>140000</v>
      </c>
      <c r="E22" s="447">
        <f>IF('Employ Benys'!E39&lt;&gt;0,'Employ Benys'!E39,0)</f>
        <v>107998</v>
      </c>
      <c r="F22" s="448" t="str">
        <f t="shared" ref="F22:F31" si="0">IF($F$58=0,"",ROUND(E22/$F$58*1000,3))</f>
        <v/>
      </c>
      <c r="H22" s="355"/>
      <c r="I22" s="355"/>
    </row>
    <row r="23" spans="1:9" x14ac:dyDescent="0.2">
      <c r="A23" s="52" t="str">
        <f>IF(inputPrYr!$B23&gt;"  ",(inputPrYr!$B23),"  ")</f>
        <v>Library Employee Benefits</v>
      </c>
      <c r="B23" s="101" t="str">
        <f>IF(inputPrYr!C23&gt;0,(inputPrYr!C23),"  ")</f>
        <v>12-16102</v>
      </c>
      <c r="C23" s="94" t="str">
        <f>IF('Employ Benys'!C85&gt;0,'Employ Benys'!C85,"  ")</f>
        <v xml:space="preserve">  </v>
      </c>
      <c r="D23" s="446">
        <f>IF('Employ Benys'!$E$72&gt;0,'Employ Benys'!$E$72,"  ")</f>
        <v>8600</v>
      </c>
      <c r="E23" s="447">
        <f>IF('Employ Benys'!E79&lt;&gt;0,'Employ Benys'!E79,0)</f>
        <v>7895</v>
      </c>
      <c r="F23" s="448" t="str">
        <f t="shared" si="0"/>
        <v/>
      </c>
      <c r="H23" s="355"/>
      <c r="I23" s="355"/>
    </row>
    <row r="24" spans="1:9" x14ac:dyDescent="0.2">
      <c r="A24" s="52" t="str">
        <f>IF(inputPrYr!$B24&gt;"  ",(inputPrYr!$B24),"  ")</f>
        <v>Special Tort Claim</v>
      </c>
      <c r="B24" s="101" t="str">
        <f>IF(inputPrYr!C24&gt;0,(inputPrYr!C24),"  ")</f>
        <v>75-6110</v>
      </c>
      <c r="C24" s="94" t="str">
        <f>IF(tort!C85&gt;0,tort!C85,"  ")</f>
        <v xml:space="preserve">  </v>
      </c>
      <c r="D24" s="446">
        <f>IF(tort!$E$33&gt;0,tort!$E$33,"  ")</f>
        <v>42000</v>
      </c>
      <c r="E24" s="447">
        <f>IF(tort!E40&lt;&gt;0,tort!E40,0)</f>
        <v>36032</v>
      </c>
      <c r="F24" s="448" t="str">
        <f t="shared" si="0"/>
        <v/>
      </c>
      <c r="H24" s="355"/>
      <c r="I24" s="355"/>
    </row>
    <row r="25" spans="1:9" x14ac:dyDescent="0.2">
      <c r="A25" s="52" t="str">
        <f>IF(inputPrYr!$B25&gt;"  ",(inputPrYr!$B25),"  ")</f>
        <v xml:space="preserve">  </v>
      </c>
      <c r="B25" s="101" t="str">
        <f>IF(inputPrYr!C25&gt;0,(inputPrYr!C25),"  ")</f>
        <v xml:space="preserve">  </v>
      </c>
      <c r="C25" s="94" t="str">
        <f>IF(tort!C85&gt;0,tort!C85,"  ")</f>
        <v xml:space="preserve">  </v>
      </c>
      <c r="D25" s="446" t="str">
        <f>IF(tort!$E$72&gt;0,tort!$E$72,"  ")</f>
        <v xml:space="preserve">  </v>
      </c>
      <c r="E25" s="447">
        <f>IF(tort!E79&lt;&gt;0,tort!E79,0)</f>
        <v>0</v>
      </c>
      <c r="F25" s="448" t="str">
        <f t="shared" si="0"/>
        <v/>
      </c>
      <c r="H25" s="355"/>
      <c r="I25" s="355"/>
    </row>
    <row r="26" spans="1:9" x14ac:dyDescent="0.2">
      <c r="A26" s="52" t="str">
        <f>IF(inputPrYr!$B26&gt;"  ",(inputPrYr!$B26),"  ")</f>
        <v xml:space="preserve">  </v>
      </c>
      <c r="B26" s="101" t="str">
        <f>IF(inputPrYr!C26&gt;0,(inputPrYr!C26),"  ")</f>
        <v xml:space="preserve">  </v>
      </c>
      <c r="C26" s="94" t="e">
        <f>IF(#REF!&gt;0,#REF!,"  ")</f>
        <v>#REF!</v>
      </c>
      <c r="D26" s="446" t="e">
        <f>IF(#REF!&gt;0,#REF!,"  ")</f>
        <v>#REF!</v>
      </c>
      <c r="E26" s="447" t="e">
        <f>IF(#REF!&lt;&gt;0,#REF!,0)</f>
        <v>#REF!</v>
      </c>
      <c r="F26" s="448" t="str">
        <f t="shared" si="0"/>
        <v/>
      </c>
      <c r="H26" s="355"/>
      <c r="I26" s="355"/>
    </row>
    <row r="27" spans="1:9" x14ac:dyDescent="0.2">
      <c r="A27" s="52" t="str">
        <f>IF(inputPrYr!$B27&gt;"  ",(inputPrYr!$B27),"  ")</f>
        <v xml:space="preserve">  </v>
      </c>
      <c r="B27" s="101" t="str">
        <f>IF(inputPrYr!C27&gt;0,(inputPrYr!C27),"  ")</f>
        <v xml:space="preserve">  </v>
      </c>
      <c r="C27" s="94" t="e">
        <f>IF(#REF!&gt;0,#REF!,"  ")</f>
        <v>#REF!</v>
      </c>
      <c r="D27" s="446" t="e">
        <f>IF(#REF!&gt;0,#REF!,"  ")</f>
        <v>#REF!</v>
      </c>
      <c r="E27" s="447" t="e">
        <f>IF(#REF!&lt;&gt;0,#REF!,0)</f>
        <v>#REF!</v>
      </c>
      <c r="F27" s="448" t="str">
        <f t="shared" si="0"/>
        <v/>
      </c>
      <c r="H27" s="355"/>
      <c r="I27" s="355"/>
    </row>
    <row r="28" spans="1:9" x14ac:dyDescent="0.2">
      <c r="A28" s="52" t="str">
        <f>IF(inputPrYr!$B28&gt;"  ",(inputPrYr!$B28),"  ")</f>
        <v xml:space="preserve">  </v>
      </c>
      <c r="B28" s="101" t="str">
        <f>IF(inputPrYr!C28&gt;0,(inputPrYr!C28),"  ")</f>
        <v xml:space="preserve">  </v>
      </c>
      <c r="C28" s="94" t="e">
        <f>IF(#REF!&gt;0,#REF!,"  ")</f>
        <v>#REF!</v>
      </c>
      <c r="D28" s="446" t="e">
        <f>IF(#REF!&gt;0,#REF!,"  ")</f>
        <v>#REF!</v>
      </c>
      <c r="E28" s="447" t="e">
        <f>IF(#REF!&lt;&gt;0,#REF!,0)</f>
        <v>#REF!</v>
      </c>
      <c r="F28" s="448" t="str">
        <f t="shared" si="0"/>
        <v/>
      </c>
      <c r="H28" s="355"/>
      <c r="I28" s="355"/>
    </row>
    <row r="29" spans="1:9" x14ac:dyDescent="0.2">
      <c r="A29" s="52" t="str">
        <f>IF(inputPrYr!$B29&gt;"  ",(inputPrYr!$B29),"  ")</f>
        <v xml:space="preserve">  </v>
      </c>
      <c r="B29" s="101" t="str">
        <f>IF(inputPrYr!C29&gt;0,(inputPrYr!C29),"  ")</f>
        <v xml:space="preserve">  </v>
      </c>
      <c r="C29" s="94" t="e">
        <f>IF(#REF!&gt;0,#REF!,"  ")</f>
        <v>#REF!</v>
      </c>
      <c r="D29" s="446" t="e">
        <f>IF(#REF!&gt;0,#REF!,"  ")</f>
        <v>#REF!</v>
      </c>
      <c r="E29" s="447" t="e">
        <f>IF(#REF!&lt;&gt;0,#REF!,0)</f>
        <v>#REF!</v>
      </c>
      <c r="F29" s="448" t="str">
        <f t="shared" si="0"/>
        <v/>
      </c>
      <c r="H29" s="355"/>
      <c r="I29" s="355"/>
    </row>
    <row r="30" spans="1:9" x14ac:dyDescent="0.2">
      <c r="A30" s="52" t="str">
        <f>IF(inputPrYr!$B30&gt;"  ",(inputPrYr!$B30),"  ")</f>
        <v xml:space="preserve">  </v>
      </c>
      <c r="B30" s="101" t="str">
        <f>IF(inputPrYr!C30&gt;0,(inputPrYr!C30),"  ")</f>
        <v xml:space="preserve">  </v>
      </c>
      <c r="C30" s="94" t="e">
        <f>IF(#REF!&gt;0,#REF!,"  ")</f>
        <v>#REF!</v>
      </c>
      <c r="D30" s="446" t="e">
        <f>IF(#REF!&gt;0,#REF!,"  ")</f>
        <v>#REF!</v>
      </c>
      <c r="E30" s="447" t="e">
        <f>IF(#REF!&lt;&gt;0,#REF!,0)</f>
        <v>#REF!</v>
      </c>
      <c r="F30" s="448" t="str">
        <f t="shared" si="0"/>
        <v/>
      </c>
      <c r="H30" s="355"/>
      <c r="I30" s="355"/>
    </row>
    <row r="31" spans="1:9" x14ac:dyDescent="0.2">
      <c r="A31" s="52" t="str">
        <f>IF(inputPrYr!B31&gt;"  ",(inputPrYr!B31),"  ")</f>
        <v xml:space="preserve">  </v>
      </c>
      <c r="B31" s="101" t="str">
        <f>IF(inputPrYr!C31&gt;0,(inputPrYr!C31),"  ")</f>
        <v xml:space="preserve">  </v>
      </c>
      <c r="C31" s="94" t="e">
        <f>IF(#REF!&gt;0,#REF!,"  ")</f>
        <v>#REF!</v>
      </c>
      <c r="D31" s="446" t="e">
        <f>IF(#REF!&gt;0,#REF!,"  ")</f>
        <v>#REF!</v>
      </c>
      <c r="E31" s="447" t="e">
        <f>IF(#REF!&lt;&gt;0,#REF!,0)</f>
        <v>#REF!</v>
      </c>
      <c r="F31" s="448" t="str">
        <f t="shared" si="0"/>
        <v/>
      </c>
      <c r="H31" s="353"/>
    </row>
    <row r="32" spans="1:9" x14ac:dyDescent="0.2">
      <c r="A32" s="102" t="str">
        <f>IF(inputPrYr!$B35&gt;"  ",(inputPrYr!$B35),"  ")</f>
        <v>Special Highway</v>
      </c>
      <c r="B32" s="103"/>
      <c r="C32" s="104" t="str">
        <f>IF('Spec Hwy'!C65&gt;0,'Spec Hwy'!C65,"  ")</f>
        <v xml:space="preserve">  </v>
      </c>
      <c r="D32" s="446" t="str">
        <f>IF('Spec Hwy'!$E$26&gt;0,'Spec Hwy'!$E$26,"  ")</f>
        <v xml:space="preserve">  </v>
      </c>
      <c r="E32" s="446"/>
      <c r="F32" s="449"/>
    </row>
    <row r="33" spans="1:6" x14ac:dyDescent="0.2">
      <c r="A33" s="102" t="str">
        <f>IF(inputPrYr!$B36&gt;"  ",(inputPrYr!$B36),"  ")</f>
        <v>Building Capital Improvement</v>
      </c>
      <c r="B33" s="103"/>
      <c r="C33" s="104" t="str">
        <f>IF('Spec Hwy'!C65&gt;0,'Spec Hwy'!C65,"  ")</f>
        <v xml:space="preserve">  </v>
      </c>
      <c r="D33" s="446" t="str">
        <f>IF('Spec Hwy'!$E$57&gt;0,'Spec Hwy'!$E$57,"  ")</f>
        <v xml:space="preserve">  </v>
      </c>
      <c r="E33" s="446"/>
      <c r="F33" s="449"/>
    </row>
    <row r="34" spans="1:6" x14ac:dyDescent="0.2">
      <c r="A34" s="102" t="str">
        <f>IF(inputPrYr!$B37&gt;"  ",(inputPrYr!$B37),"  ")</f>
        <v>Cemetary Perpetual Care</v>
      </c>
      <c r="B34" s="103"/>
      <c r="C34" s="104" t="str">
        <f>IF(cemetary!C65&gt;0,cemetary!C65,"  ")</f>
        <v xml:space="preserve">  </v>
      </c>
      <c r="D34" s="446" t="str">
        <f>IF(cemetary!$E$28&gt;0,cemetary!$E$28,"  ")</f>
        <v xml:space="preserve">  </v>
      </c>
      <c r="E34" s="446"/>
      <c r="F34" s="449"/>
    </row>
    <row r="35" spans="1:6" x14ac:dyDescent="0.2">
      <c r="A35" s="102" t="str">
        <f>IF(inputPrYr!$B38&gt;"  ",(inputPrYr!$B38),"  ")</f>
        <v xml:space="preserve">  </v>
      </c>
      <c r="B35" s="103"/>
      <c r="C35" s="104" t="str">
        <f>IF(cemetary!C65&gt;0, cemetary!C65, " ")</f>
        <v xml:space="preserve"> </v>
      </c>
      <c r="D35" s="446" t="str">
        <f>IF(cemetary!$E$57&gt;0,cemetary!$E$57,"  ")</f>
        <v xml:space="preserve">  </v>
      </c>
      <c r="E35" s="446"/>
      <c r="F35" s="449"/>
    </row>
    <row r="36" spans="1:6" x14ac:dyDescent="0.2">
      <c r="A36" s="102" t="str">
        <f>IF(inputPrYr!$B39&gt;"  ",(inputPrYr!$B39),"  ")</f>
        <v xml:space="preserve">  </v>
      </c>
      <c r="B36" s="103"/>
      <c r="C36" s="104" t="e">
        <f>IF(#REF!&gt;0,#REF!, " ")</f>
        <v>#REF!</v>
      </c>
      <c r="D36" s="446" t="e">
        <f>IF(#REF!&gt;0,#REF!,"  ")</f>
        <v>#REF!</v>
      </c>
      <c r="E36" s="446"/>
      <c r="F36" s="449"/>
    </row>
    <row r="37" spans="1:6" x14ac:dyDescent="0.2">
      <c r="A37" s="102" t="str">
        <f>IF(inputPrYr!$B40&gt;"  ",(inputPrYr!$B40),"  ")</f>
        <v xml:space="preserve">  </v>
      </c>
      <c r="B37" s="105"/>
      <c r="C37" s="104" t="e">
        <f>IF(#REF!&gt;0,#REF!, " ")</f>
        <v>#REF!</v>
      </c>
      <c r="D37" s="446" t="e">
        <f>IF(#REF!&gt;0,#REF!,"  ")</f>
        <v>#REF!</v>
      </c>
      <c r="E37" s="446"/>
      <c r="F37" s="449"/>
    </row>
    <row r="38" spans="1:6" x14ac:dyDescent="0.2">
      <c r="A38" s="102" t="str">
        <f>IF(inputPrYr!$B41&gt;"  ",(inputPrYr!$B41),"  ")</f>
        <v xml:space="preserve">  </v>
      </c>
      <c r="B38" s="106"/>
      <c r="C38" s="104" t="e">
        <f>IF(#REF!&gt;0,#REF!,"  ")</f>
        <v>#REF!</v>
      </c>
      <c r="D38" s="446" t="e">
        <f>IF(#REF!&gt;0,#REF!,"  ")</f>
        <v>#REF!</v>
      </c>
      <c r="E38" s="446"/>
      <c r="F38" s="449"/>
    </row>
    <row r="39" spans="1:6" x14ac:dyDescent="0.2">
      <c r="A39" s="102" t="str">
        <f>IF(inputPrYr!$B42&gt;"  ",(inputPrYr!$B42),"  ")</f>
        <v xml:space="preserve">  </v>
      </c>
      <c r="B39" s="106"/>
      <c r="C39" s="104" t="e">
        <f>IF(#REF!&gt;0,#REF!,"  ")</f>
        <v>#REF!</v>
      </c>
      <c r="D39" s="446" t="e">
        <f>IF(#REF!&gt;0,#REF!,"  ")</f>
        <v>#REF!</v>
      </c>
      <c r="E39" s="446"/>
      <c r="F39" s="449"/>
    </row>
    <row r="40" spans="1:6" x14ac:dyDescent="0.2">
      <c r="A40" s="102" t="str">
        <f>IF(inputPrYr!$B43&gt;"  ",(inputPrYr!$B43),"  ")</f>
        <v xml:space="preserve">  </v>
      </c>
      <c r="B40" s="103"/>
      <c r="C40" s="104" t="e">
        <f>IF(#REF!&gt;0,#REF!,"  ")</f>
        <v>#REF!</v>
      </c>
      <c r="D40" s="446" t="e">
        <f>IF(#REF!&gt;0,#REF!,"  ")</f>
        <v>#REF!</v>
      </c>
      <c r="E40" s="446"/>
      <c r="F40" s="449"/>
    </row>
    <row r="41" spans="1:6" x14ac:dyDescent="0.2">
      <c r="A41" s="102" t="str">
        <f>IF(inputPrYr!$B44&gt;"  ",(inputPrYr!$B44),"  ")</f>
        <v xml:space="preserve">  </v>
      </c>
      <c r="B41" s="103"/>
      <c r="C41" s="104" t="e">
        <f>IF(#REF!&gt;0,#REF!,"  ")</f>
        <v>#REF!</v>
      </c>
      <c r="D41" s="446" t="e">
        <f>IF(#REF!&gt;0,#REF!,"  ")</f>
        <v>#REF!</v>
      </c>
      <c r="E41" s="446"/>
      <c r="F41" s="449"/>
    </row>
    <row r="42" spans="1:6" x14ac:dyDescent="0.2">
      <c r="A42" s="102" t="str">
        <f>IF(inputPrYr!$B45&gt;"  ",(inputPrYr!$B45),"  ")</f>
        <v xml:space="preserve">  </v>
      </c>
      <c r="B42" s="103"/>
      <c r="C42" s="104" t="e">
        <f>IF(#REF!&gt;0,#REF!,"  ")</f>
        <v>#REF!</v>
      </c>
      <c r="D42" s="446" t="e">
        <f>IF(#REF!&gt;0,#REF!,"  ")</f>
        <v>#REF!</v>
      </c>
      <c r="E42" s="446"/>
      <c r="F42" s="449"/>
    </row>
    <row r="43" spans="1:6" x14ac:dyDescent="0.2">
      <c r="A43" s="102" t="str">
        <f>IF(inputPrYr!$B46&gt;"  ",(inputPrYr!$B46),"  ")</f>
        <v xml:space="preserve">  </v>
      </c>
      <c r="B43" s="103"/>
      <c r="C43" s="104" t="e">
        <f>IF(#REF!&gt;0,#REF!,"  ")</f>
        <v>#REF!</v>
      </c>
      <c r="D43" s="446" t="e">
        <f>IF(#REF!&gt;0,#REF!,"  ")</f>
        <v>#REF!</v>
      </c>
      <c r="E43" s="446"/>
      <c r="F43" s="449"/>
    </row>
    <row r="44" spans="1:6" x14ac:dyDescent="0.2">
      <c r="A44" s="102" t="str">
        <f>IF(inputPrYr!$B47&gt;"  ",(inputPrYr!$B47),"  ")</f>
        <v xml:space="preserve">  </v>
      </c>
      <c r="B44" s="103"/>
      <c r="C44" s="104" t="e">
        <f>IF(#REF!&gt;0,#REF!,"  ")</f>
        <v>#REF!</v>
      </c>
      <c r="D44" s="446" t="e">
        <f>IF(#REF!&gt;0,#REF!,"  ")</f>
        <v>#REF!</v>
      </c>
      <c r="E44" s="446"/>
      <c r="F44" s="449"/>
    </row>
    <row r="45" spans="1:6" x14ac:dyDescent="0.2">
      <c r="A45" s="102" t="str">
        <f>IF(inputPrYr!$B48&gt;"  ",(inputPrYr!$B48),"  ")</f>
        <v xml:space="preserve">  </v>
      </c>
      <c r="B45" s="103"/>
      <c r="C45" s="104" t="e">
        <f>IF(#REF!&gt;0,#REF!,"  ")</f>
        <v>#REF!</v>
      </c>
      <c r="D45" s="446" t="e">
        <f>IF(#REF!&gt;0,#REF!,"  ")</f>
        <v>#REF!</v>
      </c>
      <c r="E45" s="446"/>
      <c r="F45" s="449"/>
    </row>
    <row r="46" spans="1:6" x14ac:dyDescent="0.2">
      <c r="A46" s="102" t="str">
        <f>IF(inputPrYr!$B49&gt;"  ",(inputPrYr!$B49),"  ")</f>
        <v xml:space="preserve">  </v>
      </c>
      <c r="B46" s="105"/>
      <c r="C46" s="104" t="e">
        <f>IF(#REF!&gt;0,#REF!,"  ")</f>
        <v>#REF!</v>
      </c>
      <c r="D46" s="446" t="e">
        <f>IF(#REF!&gt;0,#REF!,"  ")</f>
        <v>#REF!</v>
      </c>
      <c r="E46" s="446"/>
      <c r="F46" s="449"/>
    </row>
    <row r="47" spans="1:6" x14ac:dyDescent="0.2">
      <c r="A47" s="102" t="str">
        <f>IF(inputPrYr!$B50&gt;"  ",(inputPrYr!$B50),"  ")</f>
        <v xml:space="preserve">  </v>
      </c>
      <c r="B47" s="106"/>
      <c r="C47" s="104" t="e">
        <f>IF(#REF!&gt;0,#REF!,"  ")</f>
        <v>#REF!</v>
      </c>
      <c r="D47" s="446" t="e">
        <f>IF(#REF!&gt;0,#REF!,"  ")</f>
        <v>#REF!</v>
      </c>
      <c r="E47" s="446"/>
      <c r="F47" s="449"/>
    </row>
    <row r="48" spans="1:6" x14ac:dyDescent="0.2">
      <c r="A48" s="102" t="str">
        <f>IF(inputPrYr!$B52&gt;"  ",(inputPrYr!$B52),"  ")</f>
        <v>Combined Sales Tax Improv</v>
      </c>
      <c r="B48" s="103"/>
      <c r="C48" s="104" t="str">
        <f>IF('Combined sales tax'!C52&gt;0,'Combined sales tax'!C52,"  ")</f>
        <v xml:space="preserve">  </v>
      </c>
      <c r="D48" s="446" t="str">
        <f>IF('Combined sales tax'!$E$44&gt;0,'Combined sales tax'!$E$44,"  ")</f>
        <v xml:space="preserve">  </v>
      </c>
      <c r="E48" s="446"/>
      <c r="F48" s="449"/>
    </row>
    <row r="49" spans="1:6" x14ac:dyDescent="0.2">
      <c r="A49" s="102" t="str">
        <f>IF(inputPrYr!$B53&gt;"  ",(inputPrYr!$B53),"  ")</f>
        <v>Community Enhanc Sales Tax</v>
      </c>
      <c r="B49" s="103"/>
      <c r="C49" s="104" t="str">
        <f>IF('Community sales tax'!C52&gt;0,'Community sales tax'!C52,"  ")</f>
        <v xml:space="preserve">  </v>
      </c>
      <c r="D49" s="446" t="str">
        <f>IF('Community sales tax'!$E$44&gt;0,'Community sales tax'!$E$44,"  ")</f>
        <v xml:space="preserve">  </v>
      </c>
      <c r="E49" s="446"/>
      <c r="F49" s="449"/>
    </row>
    <row r="50" spans="1:6" x14ac:dyDescent="0.2">
      <c r="A50" s="102" t="str">
        <f>IF(inputPrYr!$B54&gt;"  ",(inputPrYr!$B54),"  ")</f>
        <v>Water/Sewer/Refuse Utitly</v>
      </c>
      <c r="B50" s="105"/>
      <c r="C50" s="104" t="str">
        <f>IF('WaterSewer Utility'!C52&gt;0,'WaterSewer Utility'!C52,"  ")</f>
        <v xml:space="preserve">  </v>
      </c>
      <c r="D50" s="446" t="str">
        <f>IF('WaterSewer Utility'!$E$44&gt;0,'WaterSewer Utility'!$E$44,"  ")</f>
        <v xml:space="preserve">  </v>
      </c>
      <c r="E50" s="446"/>
      <c r="F50" s="449"/>
    </row>
    <row r="51" spans="1:6" x14ac:dyDescent="0.2">
      <c r="A51" s="102" t="str">
        <f>IF(inputPrYr!$B55&gt;"  ",(inputPrYr!$B55),"  ")</f>
        <v xml:space="preserve">  </v>
      </c>
      <c r="B51" s="106"/>
      <c r="C51" s="104" t="e">
        <f>IF(#REF!&gt;0,#REF!,"  ")</f>
        <v>#REF!</v>
      </c>
      <c r="D51" s="446" t="e">
        <f>IF(#REF!&gt;0,#REF!,"  ")</f>
        <v>#REF!</v>
      </c>
      <c r="E51" s="446"/>
      <c r="F51" s="449"/>
    </row>
    <row r="52" spans="1:6" x14ac:dyDescent="0.2">
      <c r="A52" s="102" t="str">
        <f>IF(inputPrYr!$B58&gt;"  ",('Reserve Funds A'!$A3),"  ")</f>
        <v>Non-Budgeted Funds-A</v>
      </c>
      <c r="B52" s="106"/>
      <c r="C52" s="104" t="str">
        <f>IF('Reserve Funds A'!F37&gt;0,'Reserve Funds A'!F37,"  ")</f>
        <v xml:space="preserve">  </v>
      </c>
      <c r="D52" s="446"/>
      <c r="E52" s="446"/>
      <c r="F52" s="449"/>
    </row>
    <row r="53" spans="1:6" x14ac:dyDescent="0.2">
      <c r="A53" s="102" t="str">
        <f>IF(inputPrYr!$B64&gt;"  ",('Reserve Funds B'!$A3),"  ")</f>
        <v>Non-Budgeted Funds-B</v>
      </c>
      <c r="B53" s="106"/>
      <c r="C53" s="104" t="str">
        <f>IF('Reserve Funds B'!F37&gt;0,'Reserve Funds B'!F37,"  ")</f>
        <v xml:space="preserve">  </v>
      </c>
      <c r="D53" s="446"/>
      <c r="E53" s="446"/>
      <c r="F53" s="449"/>
    </row>
    <row r="54" spans="1:6" x14ac:dyDescent="0.2">
      <c r="A54" s="102" t="str">
        <f>IF(inputPrYr!$B70&gt;"  ",(#REF!),"  ")</f>
        <v xml:space="preserve">  </v>
      </c>
      <c r="B54" s="103"/>
      <c r="C54" s="104" t="e">
        <f>IF(#REF!&gt;0,#REF!,"  ")</f>
        <v>#REF!</v>
      </c>
      <c r="D54" s="446"/>
      <c r="E54" s="446"/>
      <c r="F54" s="449"/>
    </row>
    <row r="55" spans="1:6" ht="16.5" thickBot="1" x14ac:dyDescent="0.25">
      <c r="A55" s="102" t="str">
        <f>IF(inputPrYr!$B76&gt;"  ",(#REF!),"  ")</f>
        <v xml:space="preserve">  </v>
      </c>
      <c r="B55" s="105"/>
      <c r="C55" s="104" t="e">
        <f>IF(#REF!&gt;0,#REF!,"  ")</f>
        <v>#REF!</v>
      </c>
      <c r="D55" s="593"/>
      <c r="E55" s="593"/>
      <c r="F55" s="594"/>
    </row>
    <row r="56" spans="1:6" x14ac:dyDescent="0.2">
      <c r="A56" s="275" t="s">
        <v>351</v>
      </c>
      <c r="B56" s="54"/>
      <c r="C56" s="170" t="s">
        <v>49</v>
      </c>
      <c r="D56" s="595" t="e">
        <f>SUM(D19:D55)</f>
        <v>#REF!</v>
      </c>
      <c r="E56" s="595" t="e">
        <f>SUM(E19:E55)</f>
        <v>#REF!</v>
      </c>
      <c r="F56" s="596" t="str">
        <f>IF(SUM(F19:F31)=0,"",SUM(F19:F31))</f>
        <v/>
      </c>
    </row>
    <row r="57" spans="1:6" x14ac:dyDescent="0.2">
      <c r="A57" s="671" t="s">
        <v>688</v>
      </c>
      <c r="B57" s="672"/>
      <c r="C57" s="94" t="str">
        <f>IF('Summary Budget Hearing Notice'!D72&gt;0, 'Summary Budget Hearing Notice'!D72, " ")</f>
        <v xml:space="preserve"> </v>
      </c>
      <c r="D57" s="568"/>
      <c r="E57" s="569"/>
      <c r="F57" s="290" t="s">
        <v>145</v>
      </c>
    </row>
    <row r="58" spans="1:6" x14ac:dyDescent="0.2">
      <c r="A58" s="671" t="s">
        <v>689</v>
      </c>
      <c r="B58" s="672"/>
      <c r="C58" s="94" t="str">
        <f>IF('Combined Rate-Bud Hearing Notic'!D72&gt;0, 'Combined Rate-Bud Hearing Notic'!D72, " ")</f>
        <v xml:space="preserve"> </v>
      </c>
      <c r="D58" s="570"/>
      <c r="E58" s="570"/>
      <c r="F58" s="669"/>
    </row>
    <row r="59" spans="1:6" x14ac:dyDescent="0.2">
      <c r="A59" s="671" t="s">
        <v>690</v>
      </c>
      <c r="B59" s="672"/>
      <c r="C59" s="94" t="str">
        <f>IF('RNR Hearing Notice'!E17&gt;0, 'RNR Hearing Notice'!E17, " ")</f>
        <v xml:space="preserve"> </v>
      </c>
      <c r="D59" s="28"/>
      <c r="E59" s="28"/>
      <c r="F59" s="670"/>
    </row>
    <row r="60" spans="1:6" x14ac:dyDescent="0.2">
      <c r="A60" s="671" t="s">
        <v>159</v>
      </c>
      <c r="B60" s="672"/>
      <c r="C60" s="94" t="str">
        <f>IF('NR Rebate'!C39&gt;0, 'NR Rebate'!C39, " ")</f>
        <v xml:space="preserve"> </v>
      </c>
      <c r="D60" s="28"/>
      <c r="E60" s="28"/>
      <c r="F60" s="667" t="str">
        <f>CONCATENATE("Nov 1, ",G1-1," Total Assessed Valuation")</f>
        <v>Nov 1, 2023 Total Assessed Valuation</v>
      </c>
    </row>
    <row r="61" spans="1:6" x14ac:dyDescent="0.2">
      <c r="A61" s="29"/>
      <c r="B61" s="28"/>
      <c r="C61" s="28"/>
      <c r="D61" s="28"/>
      <c r="E61" s="28"/>
      <c r="F61" s="668"/>
    </row>
    <row r="62" spans="1:6" x14ac:dyDescent="0.2">
      <c r="A62" s="29"/>
      <c r="B62" s="28"/>
      <c r="C62" s="28"/>
      <c r="D62" s="28"/>
      <c r="E62" s="28"/>
      <c r="F62" s="28"/>
    </row>
    <row r="63" spans="1:6" x14ac:dyDescent="0.2">
      <c r="A63" s="29"/>
      <c r="B63" s="28"/>
      <c r="C63" s="28"/>
      <c r="D63" s="676" t="s">
        <v>736</v>
      </c>
      <c r="E63" s="677"/>
      <c r="F63" s="587">
        <f>inputOth!D20</f>
        <v>50.973999999999997</v>
      </c>
    </row>
    <row r="64" spans="1:6" x14ac:dyDescent="0.2">
      <c r="A64" s="29"/>
      <c r="B64" s="28"/>
      <c r="C64" s="28"/>
      <c r="D64" s="28"/>
      <c r="E64" s="28"/>
      <c r="F64" s="28"/>
    </row>
    <row r="65" spans="1:6" x14ac:dyDescent="0.2">
      <c r="A65" s="42" t="s">
        <v>50</v>
      </c>
      <c r="B65" s="28"/>
      <c r="C65" s="28"/>
      <c r="D65" s="28"/>
      <c r="E65" s="28"/>
      <c r="F65" s="28"/>
    </row>
    <row r="66" spans="1:6" x14ac:dyDescent="0.2">
      <c r="A66" s="542"/>
      <c r="B66" s="28"/>
      <c r="C66" s="28"/>
      <c r="D66" s="195"/>
      <c r="E66" s="28"/>
      <c r="F66" s="28"/>
    </row>
    <row r="67" spans="1:6" x14ac:dyDescent="0.2">
      <c r="A67" s="543"/>
      <c r="B67" s="28"/>
      <c r="C67" s="47" t="s">
        <v>475</v>
      </c>
      <c r="D67" s="195"/>
      <c r="E67" s="28"/>
      <c r="F67" s="28"/>
    </row>
    <row r="68" spans="1:6" x14ac:dyDescent="0.2">
      <c r="A68" s="65" t="s">
        <v>148</v>
      </c>
      <c r="B68" s="28"/>
      <c r="C68" s="29"/>
      <c r="D68" s="195"/>
      <c r="E68" s="28"/>
      <c r="F68" s="28"/>
    </row>
    <row r="69" spans="1:6" x14ac:dyDescent="0.2">
      <c r="A69" s="542"/>
      <c r="B69" s="28"/>
      <c r="C69" s="28" t="s">
        <v>476</v>
      </c>
      <c r="D69" s="195"/>
      <c r="E69" s="195"/>
      <c r="F69" s="195"/>
    </row>
    <row r="70" spans="1:6" x14ac:dyDescent="0.2">
      <c r="A70" s="543"/>
      <c r="B70" s="107"/>
      <c r="C70" s="28"/>
      <c r="D70" s="28"/>
      <c r="E70" s="57"/>
      <c r="F70" s="57"/>
    </row>
    <row r="71" spans="1:6" x14ac:dyDescent="0.2">
      <c r="A71" s="383" t="s">
        <v>477</v>
      </c>
      <c r="B71" s="107"/>
      <c r="C71" s="28" t="s">
        <v>476</v>
      </c>
      <c r="D71" s="28"/>
      <c r="E71" s="439"/>
      <c r="F71" s="439"/>
    </row>
    <row r="72" spans="1:6" x14ac:dyDescent="0.2">
      <c r="A72" s="543"/>
      <c r="B72" s="80"/>
      <c r="C72" s="28"/>
      <c r="D72" s="28"/>
      <c r="E72" s="57"/>
      <c r="F72" s="57"/>
    </row>
    <row r="73" spans="1:6" x14ac:dyDescent="0.2">
      <c r="A73" s="30" t="s">
        <v>3</v>
      </c>
      <c r="B73" s="108">
        <f>G1-1</f>
        <v>2023</v>
      </c>
      <c r="C73" s="28" t="s">
        <v>476</v>
      </c>
      <c r="D73" s="28"/>
      <c r="E73" s="439"/>
      <c r="F73" s="439"/>
    </row>
    <row r="74" spans="1:6" x14ac:dyDescent="0.2">
      <c r="A74" s="195"/>
      <c r="B74" s="108"/>
      <c r="C74" s="28"/>
      <c r="D74" s="28"/>
      <c r="E74" s="81"/>
      <c r="F74" s="28"/>
    </row>
    <row r="75" spans="1:6" x14ac:dyDescent="0.2">
      <c r="A75" s="541"/>
      <c r="B75" s="28"/>
      <c r="C75" s="28" t="s">
        <v>476</v>
      </c>
      <c r="D75" s="28"/>
      <c r="E75" s="28"/>
      <c r="F75" s="28"/>
    </row>
    <row r="76" spans="1:6" x14ac:dyDescent="0.2">
      <c r="A76" s="438" t="s">
        <v>52</v>
      </c>
      <c r="B76" s="28"/>
      <c r="C76" s="665" t="s">
        <v>51</v>
      </c>
      <c r="D76" s="666"/>
      <c r="E76" s="666"/>
      <c r="F76" s="666"/>
    </row>
    <row r="77" spans="1:6" x14ac:dyDescent="0.2">
      <c r="A77" s="541"/>
      <c r="B77" s="28"/>
      <c r="C77" s="28"/>
      <c r="D77" s="28"/>
      <c r="E77" s="28"/>
      <c r="F77" s="28"/>
    </row>
    <row r="78" spans="1:6" x14ac:dyDescent="0.2">
      <c r="A78" s="536" t="s">
        <v>539</v>
      </c>
      <c r="B78" s="69"/>
      <c r="C78" s="69"/>
      <c r="D78" s="69"/>
      <c r="E78" s="69"/>
      <c r="F78" s="511"/>
    </row>
    <row r="79" spans="1:6" x14ac:dyDescent="0.2">
      <c r="A79" s="512"/>
      <c r="B79" s="28"/>
      <c r="C79" s="28"/>
      <c r="D79" s="28"/>
      <c r="E79" s="28"/>
      <c r="F79" s="403"/>
    </row>
    <row r="80" spans="1:6" x14ac:dyDescent="0.2">
      <c r="A80" s="513"/>
      <c r="B80" s="43"/>
      <c r="C80" s="43"/>
      <c r="D80" s="43"/>
      <c r="E80" s="43"/>
      <c r="F80" s="49"/>
    </row>
    <row r="86" s="64" customFormat="1" ht="15" x14ac:dyDescent="0.2"/>
    <row r="87" s="64" customFormat="1" ht="15" x14ac:dyDescent="0.2"/>
    <row r="88" s="64" customFormat="1" ht="15" x14ac:dyDescent="0.2"/>
    <row r="89" s="64" customFormat="1" ht="15" x14ac:dyDescent="0.2"/>
    <row r="90" s="64" customFormat="1" ht="15" x14ac:dyDescent="0.2"/>
    <row r="91" s="64" customFormat="1" ht="15" x14ac:dyDescent="0.2"/>
    <row r="92" s="64" customFormat="1" ht="15" x14ac:dyDescent="0.2"/>
    <row r="93" s="64" customFormat="1" ht="15" x14ac:dyDescent="0.2"/>
    <row r="94" s="64" customFormat="1" ht="15" x14ac:dyDescent="0.2"/>
    <row r="95" s="64" customFormat="1" ht="15" x14ac:dyDescent="0.2"/>
    <row r="96" s="64" customFormat="1" ht="15" x14ac:dyDescent="0.2"/>
    <row r="97" spans="1:6" ht="15" x14ac:dyDescent="0.2">
      <c r="A97" s="64"/>
      <c r="B97" s="64"/>
      <c r="C97" s="64"/>
      <c r="D97" s="64"/>
      <c r="E97" s="64"/>
      <c r="F97" s="64"/>
    </row>
    <row r="98" spans="1:6" ht="15" x14ac:dyDescent="0.2">
      <c r="A98" s="64"/>
      <c r="B98" s="64"/>
      <c r="C98" s="64"/>
      <c r="D98" s="64"/>
      <c r="E98" s="64"/>
      <c r="F98" s="64"/>
    </row>
    <row r="99" spans="1:6" ht="15" x14ac:dyDescent="0.2">
      <c r="A99" s="64"/>
      <c r="B99" s="64"/>
      <c r="C99" s="64"/>
      <c r="D99" s="64"/>
      <c r="E99" s="64"/>
      <c r="F99" s="64"/>
    </row>
    <row r="100" spans="1:6" ht="15" x14ac:dyDescent="0.2">
      <c r="A100" s="64"/>
      <c r="B100" s="64"/>
      <c r="C100" s="64"/>
      <c r="D100" s="64"/>
      <c r="E100" s="64"/>
      <c r="F100" s="64"/>
    </row>
    <row r="101" spans="1:6" ht="15" x14ac:dyDescent="0.2">
      <c r="A101" s="64"/>
      <c r="B101" s="64"/>
      <c r="C101" s="64"/>
      <c r="D101" s="64"/>
      <c r="E101" s="64"/>
      <c r="F101" s="64"/>
    </row>
    <row r="104" spans="1:6" x14ac:dyDescent="0.2">
      <c r="A104" s="24"/>
      <c r="B104" s="24"/>
      <c r="C104" s="24"/>
      <c r="D104" s="24"/>
      <c r="E104" s="24"/>
      <c r="F104" s="24"/>
    </row>
  </sheetData>
  <sheetProtection sheet="1" objects="1" scenarios="1"/>
  <mergeCells count="11">
    <mergeCell ref="A4:F4"/>
    <mergeCell ref="A2:F2"/>
    <mergeCell ref="C76:F76"/>
    <mergeCell ref="F60:F61"/>
    <mergeCell ref="F58:F59"/>
    <mergeCell ref="A58:B58"/>
    <mergeCell ref="A59:B59"/>
    <mergeCell ref="A57:B57"/>
    <mergeCell ref="A60:B60"/>
    <mergeCell ref="F10:F12"/>
    <mergeCell ref="D63:E63"/>
  </mergeCells>
  <phoneticPr fontId="0" type="noConversion"/>
  <pageMargins left="1" right="0.5" top="0.5" bottom="0.5" header="0.25" footer="0.25"/>
  <pageSetup scale="62" orientation="portrait" blackAndWhite="1" r:id="rId1"/>
  <headerFooter alignWithMargins="0">
    <oddHeader xml:space="preserve">&amp;RState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5"/>
  <sheetViews>
    <sheetView workbookViewId="0">
      <selection activeCell="E97" sqref="E97"/>
    </sheetView>
  </sheetViews>
  <sheetFormatPr defaultColWidth="8.88671875" defaultRowHeight="15.75" x14ac:dyDescent="0.2"/>
  <cols>
    <col min="1" max="1" width="8.88671875" style="26"/>
    <col min="2" max="2" width="17.88671875" style="26" customWidth="1"/>
    <col min="3" max="3" width="16.109375" style="26" customWidth="1"/>
    <col min="4" max="8" width="12.77734375" style="26" customWidth="1"/>
    <col min="9" max="9" width="10.21875" style="26" customWidth="1"/>
    <col min="10" max="16384" width="8.88671875" style="26"/>
  </cols>
  <sheetData>
    <row r="1" spans="1:9" x14ac:dyDescent="0.2">
      <c r="A1" s="438"/>
      <c r="B1" s="47" t="str">
        <f>inputPrYr!D3</f>
        <v>Wellsville</v>
      </c>
      <c r="C1" s="47"/>
      <c r="D1" s="28"/>
      <c r="E1" s="28"/>
      <c r="F1" s="28"/>
      <c r="G1" s="28"/>
      <c r="H1" s="28"/>
      <c r="I1" s="28">
        <f>inputPrYr!C6</f>
        <v>2024</v>
      </c>
    </row>
    <row r="2" spans="1:9" x14ac:dyDescent="0.2">
      <c r="A2" s="438"/>
      <c r="B2" s="28"/>
      <c r="C2" s="28"/>
      <c r="D2" s="28"/>
      <c r="E2" s="28"/>
      <c r="F2" s="28"/>
      <c r="G2" s="28"/>
      <c r="H2" s="28"/>
      <c r="I2" s="28"/>
    </row>
    <row r="3" spans="1:9" x14ac:dyDescent="0.2">
      <c r="A3" s="681" t="s">
        <v>531</v>
      </c>
      <c r="B3" s="681"/>
      <c r="C3" s="681"/>
      <c r="D3" s="681"/>
      <c r="E3" s="681"/>
      <c r="F3" s="681"/>
      <c r="G3" s="681"/>
      <c r="H3" s="681"/>
      <c r="I3" s="681"/>
    </row>
    <row r="4" spans="1:9" x14ac:dyDescent="0.2">
      <c r="A4" s="438"/>
      <c r="B4" s="28"/>
      <c r="C4" s="113"/>
      <c r="D4" s="33"/>
      <c r="E4" s="33"/>
      <c r="F4" s="28"/>
      <c r="G4" s="28"/>
      <c r="H4" s="28"/>
      <c r="I4" s="28"/>
    </row>
    <row r="5" spans="1:9" ht="21" customHeight="1" x14ac:dyDescent="0.2">
      <c r="A5" s="438"/>
      <c r="B5" s="114" t="s">
        <v>188</v>
      </c>
      <c r="C5" s="505" t="s">
        <v>521</v>
      </c>
      <c r="D5" s="678" t="str">
        <f>CONCATENATE("Allocation for Year ",I1,"")</f>
        <v>Allocation for Year 2024</v>
      </c>
      <c r="E5" s="679"/>
      <c r="F5" s="679"/>
      <c r="G5" s="679"/>
      <c r="H5" s="680"/>
      <c r="I5" s="28"/>
    </row>
    <row r="6" spans="1:9" x14ac:dyDescent="0.2">
      <c r="A6" s="438"/>
      <c r="B6" s="92" t="str">
        <f>CONCATENATE("for ",I1-1,"")</f>
        <v>for 2023</v>
      </c>
      <c r="C6" s="92" t="str">
        <f>CONCATENATE("Tax Year ",I1-2,"")</f>
        <v>Tax Year 2022</v>
      </c>
      <c r="D6" s="91" t="s">
        <v>127</v>
      </c>
      <c r="E6" s="91" t="s">
        <v>128</v>
      </c>
      <c r="F6" s="91" t="s">
        <v>126</v>
      </c>
      <c r="G6" s="504" t="s">
        <v>519</v>
      </c>
      <c r="H6" s="504" t="s">
        <v>520</v>
      </c>
      <c r="I6" s="109"/>
    </row>
    <row r="7" spans="1:9" x14ac:dyDescent="0.2">
      <c r="A7" s="438"/>
      <c r="B7" s="52" t="str">
        <f>(inputPrYr!B18)</f>
        <v>General</v>
      </c>
      <c r="C7" s="94">
        <f>(inputPrYr!E18)</f>
        <v>771791</v>
      </c>
      <c r="D7" s="94">
        <f>IF(inputPrYr!E18=0,0,D22-SUM(D8:D19))</f>
        <v>64788</v>
      </c>
      <c r="E7" s="94">
        <f>IF(inputPrYr!E18=0,0,E23-SUM(E8:E19))</f>
        <v>1413</v>
      </c>
      <c r="F7" s="94">
        <f>IF(inputPrYr!E18=0,0,F24-SUM(F8:F19))</f>
        <v>524</v>
      </c>
      <c r="G7" s="94">
        <f>IF(inputPrYr!E18=0,0,G25-SUM(G8:G19))</f>
        <v>1867</v>
      </c>
      <c r="H7" s="94">
        <f>IF(inputPrYr!E18=0,0,H26-SUM(H8:H19))</f>
        <v>325</v>
      </c>
      <c r="I7" s="438"/>
    </row>
    <row r="8" spans="1:9" x14ac:dyDescent="0.2">
      <c r="A8" s="438"/>
      <c r="B8" s="52" t="str">
        <f>IF(inputPrYr!$B19&gt;"  ",(inputPrYr!$B19),"  ")</f>
        <v>Debt Service</v>
      </c>
      <c r="C8" s="94">
        <f>IF(inputPrYr!$E19&gt;0,(inputPrYr!$E19),"  ")</f>
        <v>45021</v>
      </c>
      <c r="D8" s="94">
        <f>IF(inputPrYr!E19&gt;0,ROUND(C8*$D$29,0),"  ")</f>
        <v>3779</v>
      </c>
      <c r="E8" s="94">
        <f>IF(inputPrYr!E19&gt;0,ROUND(+C8*E$30,0)," ")</f>
        <v>82</v>
      </c>
      <c r="F8" s="94">
        <f>IF(inputPrYr!E19&gt;0,ROUND(C8*F$31,0)," ")</f>
        <v>31</v>
      </c>
      <c r="G8" s="94">
        <f>IF(inputPrYr!E19&gt;0,ROUND(C8*G$32,0)," ")</f>
        <v>109</v>
      </c>
      <c r="H8" s="94">
        <f>IF(inputPrYr!E19&gt;0,ROUND(C8*H$33,0)," ")</f>
        <v>19</v>
      </c>
      <c r="I8" s="438"/>
    </row>
    <row r="9" spans="1:9" x14ac:dyDescent="0.2">
      <c r="A9" s="438"/>
      <c r="B9" s="52" t="str">
        <f>IF(inputPrYr!$B20&gt;"  ",(inputPrYr!$B20),"  ")</f>
        <v>Library</v>
      </c>
      <c r="C9" s="94">
        <f>IF(inputPrYr!$E20&gt;0,(inputPrYr!$E20),"  ")</f>
        <v>92374</v>
      </c>
      <c r="D9" s="94">
        <f>IF(inputPrYr!E20&gt;0,ROUND(C9*$D$29,0),"  ")</f>
        <v>7754</v>
      </c>
      <c r="E9" s="94">
        <f>IF(inputPrYr!E20&gt;0,ROUND(+C9*E$30,0)," ")</f>
        <v>169</v>
      </c>
      <c r="F9" s="94">
        <f>IF(inputPrYr!E20&gt;0,ROUND(+C9*F$31,0)," ")</f>
        <v>63</v>
      </c>
      <c r="G9" s="94">
        <f>IF(inputPrYr!E20&gt;0,ROUND(C9*G$32,0)," ")</f>
        <v>223</v>
      </c>
      <c r="H9" s="94">
        <f>IF(inputPrYr!E20&gt;0,ROUND(C9*H$33,0)," ")</f>
        <v>39</v>
      </c>
      <c r="I9" s="438"/>
    </row>
    <row r="10" spans="1:9" x14ac:dyDescent="0.2">
      <c r="A10" s="438"/>
      <c r="B10" s="52" t="str">
        <f>IF(inputPrYr!$B22&gt;"  ",(inputPrYr!$B22),"  ")</f>
        <v>Employee Benefits</v>
      </c>
      <c r="C10" s="94">
        <f>IF(inputPrYr!$E22&gt;0,(inputPrYr!$E22),"  ")</f>
        <v>112256</v>
      </c>
      <c r="D10" s="94">
        <f>IF(inputPrYr!E22&gt;0,ROUND(C10*$D$29,0),"  ")</f>
        <v>9423</v>
      </c>
      <c r="E10" s="94">
        <f>IF(inputPrYr!E22&gt;0,ROUND(+C10*E$30,0)," ")</f>
        <v>205</v>
      </c>
      <c r="F10" s="94">
        <f>IF(inputPrYr!E22&gt;0,ROUND(+C10*F$31,0)," ")</f>
        <v>76</v>
      </c>
      <c r="G10" s="94">
        <f>IF(inputPrYr!E22&gt;0,ROUND(C10*G$32,0)," ")</f>
        <v>271</v>
      </c>
      <c r="H10" s="94">
        <f>IF(inputPrYr!E22&gt;0,ROUND(C10*H$33,0)," ")</f>
        <v>47</v>
      </c>
      <c r="I10" s="438"/>
    </row>
    <row r="11" spans="1:9" x14ac:dyDescent="0.2">
      <c r="A11" s="438"/>
      <c r="B11" s="52" t="str">
        <f>IF(inputPrYr!$B23&gt;"  ",(inputPrYr!$B23),"  ")</f>
        <v>Library Employee Benefits</v>
      </c>
      <c r="C11" s="94">
        <f>IF(inputPrYr!$E23&gt;0,(inputPrYr!$E23),"  ")</f>
        <v>7869</v>
      </c>
      <c r="D11" s="94">
        <f>IF(inputPrYr!E23&gt;0,ROUND(C11*$D$29,0),"  ")</f>
        <v>661</v>
      </c>
      <c r="E11" s="94">
        <f>IF(inputPrYr!E23&gt;0,ROUND(+C11*E$30,0)," ")</f>
        <v>14</v>
      </c>
      <c r="F11" s="94">
        <f>IF(inputPrYr!E23&gt;0,ROUND(+C11*F$31,0)," ")</f>
        <v>5</v>
      </c>
      <c r="G11" s="94">
        <f>IF(inputPrYr!E23&gt;0,ROUND(C11*G$32,0)," ")</f>
        <v>19</v>
      </c>
      <c r="H11" s="94">
        <f>IF(inputPrYr!E23&gt;0,ROUND(C11*H$33,0)," ")</f>
        <v>3</v>
      </c>
      <c r="I11" s="438"/>
    </row>
    <row r="12" spans="1:9" x14ac:dyDescent="0.2">
      <c r="A12" s="438"/>
      <c r="B12" s="52" t="str">
        <f>IF(inputPrYr!$B24&gt;"  ",(inputPrYr!$B24),"  ")</f>
        <v>Special Tort Claim</v>
      </c>
      <c r="C12" s="94">
        <f>IF(inputPrYr!$E24&gt;0,(inputPrYr!$E24),"  ")</f>
        <v>33814</v>
      </c>
      <c r="D12" s="94">
        <f>IF(inputPrYr!E24&gt;0,ROUND(C12*$D$29,0),"  ")</f>
        <v>2839</v>
      </c>
      <c r="E12" s="94">
        <f>IF(inputPrYr!E24&gt;0,ROUND(+C12*E$30,0)," ")</f>
        <v>62</v>
      </c>
      <c r="F12" s="94">
        <f>IF(inputPrYr!E24&gt;0,ROUND(+C12*F$31,0)," ")</f>
        <v>23</v>
      </c>
      <c r="G12" s="94">
        <f>IF(inputPrYr!E24&gt;0,ROUND(C12*G$32,0)," ")</f>
        <v>82</v>
      </c>
      <c r="H12" s="94">
        <f>IF(inputPrYr!E24&gt;0,ROUND(C12*H$33,0)," ")</f>
        <v>14</v>
      </c>
      <c r="I12" s="438"/>
    </row>
    <row r="13" spans="1:9" x14ac:dyDescent="0.2">
      <c r="A13" s="438"/>
      <c r="B13" s="52" t="str">
        <f>IF(inputPrYr!$B25&gt;"  ",(inputPrYr!$B25),"  ")</f>
        <v xml:space="preserve">  </v>
      </c>
      <c r="C13" s="94" t="str">
        <f>IF(inputPrYr!$E25&gt;0,(inputPrYr!$E25),"  ")</f>
        <v xml:space="preserve">  </v>
      </c>
      <c r="D13" s="94" t="str">
        <f>IF(inputPrYr!E25&gt;0,ROUND(C13*$D$29,0),"  ")</f>
        <v xml:space="preserve">  </v>
      </c>
      <c r="E13" s="94" t="str">
        <f>IF(inputPrYr!E25&gt;0,ROUND(+C13*E$30,0)," ")</f>
        <v xml:space="preserve"> </v>
      </c>
      <c r="F13" s="94" t="str">
        <f>IF(inputPrYr!E25&gt;0,ROUND(+C13*F$31,0)," ")</f>
        <v xml:space="preserve"> </v>
      </c>
      <c r="G13" s="94" t="str">
        <f>IF(inputPrYr!E25&gt;0,ROUND(C13*G$32,0)," ")</f>
        <v xml:space="preserve"> </v>
      </c>
      <c r="H13" s="94" t="str">
        <f>IF(inputPrYr!E25&gt;0,ROUND(C13*H$33,0)," ")</f>
        <v xml:space="preserve"> </v>
      </c>
      <c r="I13" s="438"/>
    </row>
    <row r="14" spans="1:9" x14ac:dyDescent="0.2">
      <c r="A14" s="438"/>
      <c r="B14" s="52" t="str">
        <f>IF(inputPrYr!$B26&gt;"  ",(inputPrYr!$B26),"  ")</f>
        <v xml:space="preserve">  </v>
      </c>
      <c r="C14" s="94" t="str">
        <f>IF(inputPrYr!$E26&gt;0,(inputPrYr!$E26),"  ")</f>
        <v xml:space="preserve">  </v>
      </c>
      <c r="D14" s="94" t="str">
        <f>IF(inputPrYr!E26&gt;0,ROUND(C14*$D$29,0),"  ")</f>
        <v xml:space="preserve">  </v>
      </c>
      <c r="E14" s="94" t="str">
        <f>IF(inputPrYr!E26&gt;0,ROUND(+C14*E$30,0)," ")</f>
        <v xml:space="preserve"> </v>
      </c>
      <c r="F14" s="94" t="str">
        <f>IF(inputPrYr!E26&gt;0,ROUND(+C14*F$31,0)," ")</f>
        <v xml:space="preserve"> </v>
      </c>
      <c r="G14" s="94" t="str">
        <f>IF(inputPrYr!E26&gt;0,ROUND(C14*G$32,0)," ")</f>
        <v xml:space="preserve"> </v>
      </c>
      <c r="H14" s="94" t="str">
        <f>IF(inputPrYr!E26&gt;0,ROUND(C14*H$33,0)," ")</f>
        <v xml:space="preserve"> </v>
      </c>
      <c r="I14" s="438"/>
    </row>
    <row r="15" spans="1:9" x14ac:dyDescent="0.2">
      <c r="A15" s="438"/>
      <c r="B15" s="52" t="str">
        <f>IF(inputPrYr!$B27&gt;"  ",(inputPrYr!$B27),"  ")</f>
        <v xml:space="preserve">  </v>
      </c>
      <c r="C15" s="94" t="str">
        <f>IF(inputPrYr!$E27&gt;0,(inputPrYr!$E27),"  ")</f>
        <v xml:space="preserve">  </v>
      </c>
      <c r="D15" s="94" t="str">
        <f>IF(inputPrYr!E27&gt;0,ROUND(C15*$D$29,0),"  ")</f>
        <v xml:space="preserve">  </v>
      </c>
      <c r="E15" s="94" t="str">
        <f>IF(inputPrYr!E27&gt;0,ROUND(+C15*E$30,0)," ")</f>
        <v xml:space="preserve"> </v>
      </c>
      <c r="F15" s="94" t="str">
        <f>IF(inputPrYr!E27&gt;0,ROUND(+C15*F$31,0)," ")</f>
        <v xml:space="preserve"> </v>
      </c>
      <c r="G15" s="94" t="str">
        <f>IF(inputPrYr!E27&gt;0,ROUND(C15*G$32,0)," ")</f>
        <v xml:space="preserve"> </v>
      </c>
      <c r="H15" s="94" t="str">
        <f>IF(inputPrYr!E27&gt;0,ROUND(C15*H$33,0)," ")</f>
        <v xml:space="preserve"> </v>
      </c>
      <c r="I15" s="438"/>
    </row>
    <row r="16" spans="1:9" x14ac:dyDescent="0.2">
      <c r="A16" s="438"/>
      <c r="B16" s="52" t="str">
        <f>IF(inputPrYr!$B28&gt;"  ",(inputPrYr!$B28),"  ")</f>
        <v xml:space="preserve">  </v>
      </c>
      <c r="C16" s="94" t="str">
        <f>IF(inputPrYr!$E28&gt;0,(inputPrYr!$E28),"  ")</f>
        <v xml:space="preserve">  </v>
      </c>
      <c r="D16" s="94" t="str">
        <f>IF(inputPrYr!E28&gt;0,ROUND(C16*$D$29,0),"  ")</f>
        <v xml:space="preserve">  </v>
      </c>
      <c r="E16" s="94" t="str">
        <f>IF(inputPrYr!E28&gt;0,ROUND(+C16*E$30,0)," ")</f>
        <v xml:space="preserve"> </v>
      </c>
      <c r="F16" s="94" t="str">
        <f>IF(inputPrYr!E28&gt;0,ROUND(+C16*F$31,0)," ")</f>
        <v xml:space="preserve"> </v>
      </c>
      <c r="G16" s="94" t="str">
        <f>IF(inputPrYr!E28&gt;0,ROUND(C16*G$32,0)," ")</f>
        <v xml:space="preserve"> </v>
      </c>
      <c r="H16" s="94" t="str">
        <f>IF(inputPrYr!E28&gt;0,ROUND(C16*H$33,0)," ")</f>
        <v xml:space="preserve"> </v>
      </c>
      <c r="I16" s="438"/>
    </row>
    <row r="17" spans="1:9" x14ac:dyDescent="0.2">
      <c r="A17" s="438"/>
      <c r="B17" s="52" t="str">
        <f>IF(inputPrYr!$B29&gt;"  ",(inputPrYr!$B29),"  ")</f>
        <v xml:space="preserve">  </v>
      </c>
      <c r="C17" s="94" t="str">
        <f>IF(inputPrYr!$E29&gt;0,(inputPrYr!$E29),"  ")</f>
        <v xml:space="preserve">  </v>
      </c>
      <c r="D17" s="94" t="str">
        <f>IF(inputPrYr!E29&gt;0,ROUND(C17*$D$29,0),"  ")</f>
        <v xml:space="preserve">  </v>
      </c>
      <c r="E17" s="94" t="str">
        <f>IF(inputPrYr!E29&gt;0,ROUND(+C17*E$30,0)," ")</f>
        <v xml:space="preserve"> </v>
      </c>
      <c r="F17" s="94" t="str">
        <f>IF(inputPrYr!E29&gt;0,ROUND(+C17*F$31,0)," ")</f>
        <v xml:space="preserve"> </v>
      </c>
      <c r="G17" s="94" t="str">
        <f>IF(inputPrYr!E29&gt;0,ROUND(C17*G$32,0)," ")</f>
        <v xml:space="preserve"> </v>
      </c>
      <c r="H17" s="94" t="str">
        <f>IF(inputPrYr!E29&gt;0,ROUND(C17*H$33,0)," ")</f>
        <v xml:space="preserve"> </v>
      </c>
      <c r="I17" s="438"/>
    </row>
    <row r="18" spans="1:9" x14ac:dyDescent="0.2">
      <c r="A18" s="438"/>
      <c r="B18" s="52" t="str">
        <f>IF(inputPrYr!$B30&gt;"  ",(inputPrYr!$B30),"  ")</f>
        <v xml:space="preserve">  </v>
      </c>
      <c r="C18" s="94" t="str">
        <f>IF(inputPrYr!$E30&gt;0,(inputPrYr!$E30),"  ")</f>
        <v xml:space="preserve">  </v>
      </c>
      <c r="D18" s="94" t="str">
        <f>IF(inputPrYr!E30&gt;0,ROUND(C18*$D$29,0),"  ")</f>
        <v xml:space="preserve">  </v>
      </c>
      <c r="E18" s="94" t="str">
        <f>IF(inputPrYr!E30&gt;0,ROUND(+C18*E$30,0)," ")</f>
        <v xml:space="preserve"> </v>
      </c>
      <c r="F18" s="94" t="str">
        <f>IF(inputPrYr!E30&gt;0,ROUND(+C18*F$31,0)," ")</f>
        <v xml:space="preserve"> </v>
      </c>
      <c r="G18" s="94" t="str">
        <f>IF(inputPrYr!E30&gt;0,ROUND(C18*G$32,0)," ")</f>
        <v xml:space="preserve"> </v>
      </c>
      <c r="H18" s="94" t="str">
        <f>IF(inputPrYr!E30&gt;0,ROUND(C18*H$33,0)," ")</f>
        <v xml:space="preserve"> </v>
      </c>
      <c r="I18" s="438"/>
    </row>
    <row r="19" spans="1:9" x14ac:dyDescent="0.2">
      <c r="A19" s="438"/>
      <c r="B19" s="52" t="str">
        <f>IF(inputPrYr!B31&gt;"  ",(inputPrYr!B31),"  ")</f>
        <v xml:space="preserve">  </v>
      </c>
      <c r="C19" s="94" t="str">
        <f>IF(inputPrYr!E31&gt;0,(inputPrYr!E31),"  ")</f>
        <v xml:space="preserve">  </v>
      </c>
      <c r="D19" s="94" t="str">
        <f>IF(inputPrYr!E31&gt;0,ROUND(C19*$D$29,0),"  ")</f>
        <v xml:space="preserve">  </v>
      </c>
      <c r="E19" s="94" t="str">
        <f>IF(inputPrYr!E31&gt;0,ROUND(+C19*E$30,0)," ")</f>
        <v xml:space="preserve"> </v>
      </c>
      <c r="F19" s="94" t="str">
        <f>IF(inputPrYr!E31&gt;0,ROUND(+C19*F$31,0)," ")</f>
        <v xml:space="preserve"> </v>
      </c>
      <c r="G19" s="94" t="str">
        <f>IF(inputPrYr!E31&gt;0,ROUND(C19*G$32,0)," ")</f>
        <v xml:space="preserve"> </v>
      </c>
      <c r="H19" s="94" t="str">
        <f>IF(inputPrYr!E31&gt;0,ROUND(C19*H$33,0)," ")</f>
        <v xml:space="preserve"> </v>
      </c>
      <c r="I19" s="438"/>
    </row>
    <row r="20" spans="1:9" x14ac:dyDescent="0.2">
      <c r="A20" s="438"/>
      <c r="B20" s="28" t="s">
        <v>55</v>
      </c>
      <c r="C20" s="101">
        <f t="shared" ref="C20:H20" si="0">SUM(C7:C19)</f>
        <v>1063125</v>
      </c>
      <c r="D20" s="101">
        <f t="shared" si="0"/>
        <v>89244</v>
      </c>
      <c r="E20" s="101">
        <f t="shared" si="0"/>
        <v>1945</v>
      </c>
      <c r="F20" s="101">
        <f t="shared" si="0"/>
        <v>722</v>
      </c>
      <c r="G20" s="101">
        <f t="shared" si="0"/>
        <v>2571</v>
      </c>
      <c r="H20" s="101">
        <f t="shared" si="0"/>
        <v>447</v>
      </c>
      <c r="I20" s="28"/>
    </row>
    <row r="21" spans="1:9" x14ac:dyDescent="0.2">
      <c r="A21" s="438"/>
      <c r="B21" s="28"/>
      <c r="C21" s="47"/>
      <c r="D21" s="47"/>
      <c r="E21" s="47"/>
      <c r="F21" s="47"/>
      <c r="G21" s="47"/>
      <c r="H21" s="47"/>
      <c r="I21" s="28"/>
    </row>
    <row r="22" spans="1:9" x14ac:dyDescent="0.2">
      <c r="A22" s="438"/>
      <c r="B22" s="466" t="s">
        <v>56</v>
      </c>
      <c r="C22" s="115"/>
      <c r="D22" s="116">
        <f>(inputOth!E42)</f>
        <v>89244</v>
      </c>
      <c r="E22" s="115"/>
      <c r="F22" s="28"/>
      <c r="G22" s="28"/>
      <c r="H22" s="28"/>
      <c r="I22" s="28"/>
    </row>
    <row r="23" spans="1:9" x14ac:dyDescent="0.2">
      <c r="A23" s="438"/>
      <c r="B23" s="466" t="s">
        <v>522</v>
      </c>
      <c r="C23" s="28"/>
      <c r="D23" s="28"/>
      <c r="E23" s="116">
        <f>(inputOth!E43)</f>
        <v>1945</v>
      </c>
      <c r="F23" s="28"/>
      <c r="G23" s="28"/>
      <c r="H23" s="28"/>
      <c r="I23" s="28"/>
    </row>
    <row r="24" spans="1:9" x14ac:dyDescent="0.2">
      <c r="A24" s="438"/>
      <c r="B24" s="466" t="s">
        <v>523</v>
      </c>
      <c r="C24" s="28"/>
      <c r="D24" s="28"/>
      <c r="E24" s="28"/>
      <c r="F24" s="116">
        <f>inputOth!E44</f>
        <v>722</v>
      </c>
      <c r="G24" s="47"/>
      <c r="H24" s="47"/>
      <c r="I24" s="28"/>
    </row>
    <row r="25" spans="1:9" x14ac:dyDescent="0.2">
      <c r="A25" s="438"/>
      <c r="B25" s="467" t="s">
        <v>524</v>
      </c>
      <c r="C25" s="28"/>
      <c r="D25" s="28"/>
      <c r="E25" s="28"/>
      <c r="F25" s="47"/>
      <c r="G25" s="116">
        <f>inputOth!E45</f>
        <v>2571</v>
      </c>
      <c r="H25" s="47"/>
      <c r="I25" s="28"/>
    </row>
    <row r="26" spans="1:9" x14ac:dyDescent="0.2">
      <c r="A26" s="438"/>
      <c r="B26" s="467" t="s">
        <v>525</v>
      </c>
      <c r="C26" s="28"/>
      <c r="D26" s="28"/>
      <c r="E26" s="28"/>
      <c r="F26" s="47"/>
      <c r="G26" s="47"/>
      <c r="H26" s="116">
        <f>inputOth!E46</f>
        <v>447</v>
      </c>
      <c r="I26" s="28"/>
    </row>
    <row r="27" spans="1:9" x14ac:dyDescent="0.2">
      <c r="A27" s="438"/>
      <c r="B27" s="29"/>
      <c r="C27" s="28"/>
      <c r="D27" s="28"/>
      <c r="E27" s="28"/>
      <c r="F27" s="47"/>
      <c r="G27" s="47"/>
      <c r="H27" s="47"/>
      <c r="I27" s="28"/>
    </row>
    <row r="28" spans="1:9" x14ac:dyDescent="0.2">
      <c r="A28" s="438"/>
      <c r="B28" s="29"/>
      <c r="C28" s="28"/>
      <c r="D28" s="28"/>
      <c r="E28" s="28"/>
      <c r="F28" s="47"/>
      <c r="G28" s="47"/>
      <c r="H28" s="47"/>
      <c r="I28" s="56"/>
    </row>
    <row r="29" spans="1:9" x14ac:dyDescent="0.2">
      <c r="A29" s="438"/>
      <c r="B29" s="29" t="s">
        <v>57</v>
      </c>
      <c r="C29" s="28"/>
      <c r="D29" s="117">
        <f>IF(C20=0,0,D22/C20)</f>
        <v>8.3944973544973545E-2</v>
      </c>
      <c r="E29" s="28"/>
      <c r="F29" s="28"/>
      <c r="G29" s="28"/>
      <c r="H29" s="28"/>
      <c r="I29" s="28"/>
    </row>
    <row r="30" spans="1:9" x14ac:dyDescent="0.2">
      <c r="A30" s="438"/>
      <c r="B30" s="28"/>
      <c r="C30" s="29" t="s">
        <v>58</v>
      </c>
      <c r="D30" s="28"/>
      <c r="E30" s="117">
        <f>IF(C20=0,0,E23/C20)</f>
        <v>1.8295120517342739E-3</v>
      </c>
      <c r="F30" s="28"/>
      <c r="G30" s="28"/>
      <c r="H30" s="28"/>
      <c r="I30" s="28"/>
    </row>
    <row r="31" spans="1:9" x14ac:dyDescent="0.2">
      <c r="A31" s="438"/>
      <c r="B31" s="28"/>
      <c r="C31" s="28"/>
      <c r="D31" s="29" t="s">
        <v>129</v>
      </c>
      <c r="E31" s="28"/>
      <c r="F31" s="117">
        <f>IF(C20=0,0,F24/C20)</f>
        <v>6.7912992357436802E-4</v>
      </c>
      <c r="G31" s="500"/>
      <c r="H31" s="500"/>
      <c r="I31" s="28"/>
    </row>
    <row r="32" spans="1:9" x14ac:dyDescent="0.2">
      <c r="A32" s="438"/>
      <c r="B32" s="28"/>
      <c r="C32" s="28"/>
      <c r="D32" s="29"/>
      <c r="E32" s="507" t="s">
        <v>526</v>
      </c>
      <c r="F32" s="506"/>
      <c r="G32" s="117">
        <f>IF(C20=0,0,G25/C20)</f>
        <v>2.4183421516754851E-3</v>
      </c>
      <c r="H32" s="500"/>
      <c r="I32" s="28"/>
    </row>
    <row r="33" spans="1:9" x14ac:dyDescent="0.2">
      <c r="A33" s="438"/>
      <c r="B33" s="28"/>
      <c r="C33" s="28"/>
      <c r="D33" s="29"/>
      <c r="E33" s="467"/>
      <c r="F33" s="507" t="s">
        <v>527</v>
      </c>
      <c r="G33" s="500"/>
      <c r="H33" s="117">
        <f>IF(C20=0,0,H26/C20)</f>
        <v>4.2045855379188715E-4</v>
      </c>
      <c r="I33" s="28"/>
    </row>
    <row r="34" spans="1:9" x14ac:dyDescent="0.2">
      <c r="A34" s="438"/>
      <c r="B34" s="28"/>
      <c r="C34" s="28"/>
      <c r="D34" s="28"/>
      <c r="E34" s="28"/>
      <c r="F34" s="28"/>
      <c r="G34" s="28"/>
      <c r="H34" s="28"/>
      <c r="I34" s="28"/>
    </row>
    <row r="35" spans="1:9" x14ac:dyDescent="0.2">
      <c r="A35" s="438"/>
      <c r="B35" s="40"/>
      <c r="C35" s="40"/>
      <c r="D35" s="40"/>
      <c r="E35" s="40"/>
      <c r="F35" s="40"/>
      <c r="G35" s="40"/>
      <c r="H35" s="40"/>
      <c r="I35" s="40"/>
    </row>
  </sheetData>
  <sheetProtection sheet="1" objects="1" scenarios="1"/>
  <mergeCells count="2">
    <mergeCell ref="D5:H5"/>
    <mergeCell ref="A3:I3"/>
  </mergeCells>
  <phoneticPr fontId="0" type="noConversion"/>
  <pageMargins left="0.5" right="0.5" top="1" bottom="0.5" header="0.5" footer="0.5"/>
  <pageSetup scale="68" orientation="portrait" blackAndWhite="1" horizontalDpi="120" verticalDpi="144" r:id="rId1"/>
  <headerFooter alignWithMargins="0">
    <oddHeader xml:space="preserve">&amp;RState of Kansas
City
</oddHeader>
    <oddFooter xml:space="preserve">&amp;CPage No. 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G32"/>
  <sheetViews>
    <sheetView workbookViewId="0">
      <selection activeCell="E97" sqref="E97"/>
    </sheetView>
  </sheetViews>
  <sheetFormatPr defaultColWidth="8.88671875" defaultRowHeight="15.75" x14ac:dyDescent="0.2"/>
  <cols>
    <col min="1" max="1" width="4.21875" style="24" customWidth="1"/>
    <col min="2" max="3" width="17.77734375" style="24" customWidth="1"/>
    <col min="4" max="7" width="12.77734375" style="24" customWidth="1"/>
    <col min="8" max="16384" width="8.88671875" style="24"/>
  </cols>
  <sheetData>
    <row r="1" spans="2:7" x14ac:dyDescent="0.2">
      <c r="B1" s="47" t="str">
        <f>inputPrYr!D3</f>
        <v>Wellsville</v>
      </c>
      <c r="C1" s="47"/>
      <c r="D1" s="28"/>
      <c r="E1" s="28"/>
      <c r="F1" s="28"/>
      <c r="G1" s="28">
        <f>inputPrYr!$C$6</f>
        <v>2024</v>
      </c>
    </row>
    <row r="2" spans="2:7" x14ac:dyDescent="0.2">
      <c r="B2" s="28"/>
      <c r="C2" s="28"/>
      <c r="D2" s="28"/>
      <c r="E2" s="28"/>
      <c r="F2" s="28"/>
      <c r="G2" s="28"/>
    </row>
    <row r="3" spans="2:7" x14ac:dyDescent="0.2">
      <c r="B3" s="681" t="s">
        <v>141</v>
      </c>
      <c r="C3" s="681"/>
      <c r="D3" s="681"/>
      <c r="E3" s="681"/>
      <c r="F3" s="681"/>
      <c r="G3" s="681"/>
    </row>
    <row r="4" spans="2:7" x14ac:dyDescent="0.2">
      <c r="B4" s="118"/>
      <c r="C4" s="118"/>
      <c r="D4" s="118"/>
      <c r="E4" s="118"/>
      <c r="F4" s="118"/>
      <c r="G4" s="118"/>
    </row>
    <row r="5" spans="2:7" x14ac:dyDescent="0.2">
      <c r="B5" s="119" t="s">
        <v>310</v>
      </c>
      <c r="C5" s="119" t="s">
        <v>311</v>
      </c>
      <c r="D5" s="119" t="s">
        <v>81</v>
      </c>
      <c r="E5" s="119" t="s">
        <v>146</v>
      </c>
      <c r="F5" s="119" t="s">
        <v>147</v>
      </c>
      <c r="G5" s="119" t="s">
        <v>180</v>
      </c>
    </row>
    <row r="6" spans="2:7" x14ac:dyDescent="0.2">
      <c r="B6" s="120" t="s">
        <v>312</v>
      </c>
      <c r="C6" s="120" t="s">
        <v>313</v>
      </c>
      <c r="D6" s="120" t="s">
        <v>181</v>
      </c>
      <c r="E6" s="120" t="s">
        <v>181</v>
      </c>
      <c r="F6" s="120" t="s">
        <v>181</v>
      </c>
      <c r="G6" s="120" t="s">
        <v>182</v>
      </c>
    </row>
    <row r="7" spans="2:7" ht="15" customHeight="1" x14ac:dyDescent="0.2">
      <c r="B7" s="121" t="s">
        <v>183</v>
      </c>
      <c r="C7" s="121" t="s">
        <v>184</v>
      </c>
      <c r="D7" s="122">
        <f>G1-2</f>
        <v>2022</v>
      </c>
      <c r="E7" s="122">
        <f>G1-1</f>
        <v>2023</v>
      </c>
      <c r="F7" s="122">
        <f>G1</f>
        <v>2024</v>
      </c>
      <c r="G7" s="121" t="s">
        <v>185</v>
      </c>
    </row>
    <row r="8" spans="2:7" ht="14.25" customHeight="1" x14ac:dyDescent="0.2">
      <c r="B8" s="123"/>
      <c r="C8" s="123"/>
      <c r="D8" s="124"/>
      <c r="E8" s="124"/>
      <c r="F8" s="124"/>
      <c r="G8" s="125"/>
    </row>
    <row r="9" spans="2:7" ht="15" customHeight="1" x14ac:dyDescent="0.2">
      <c r="B9" s="126"/>
      <c r="C9" s="126"/>
      <c r="D9" s="127"/>
      <c r="E9" s="127"/>
      <c r="F9" s="127"/>
      <c r="G9" s="125"/>
    </row>
    <row r="10" spans="2:7" ht="15" customHeight="1" x14ac:dyDescent="0.2">
      <c r="B10" s="126"/>
      <c r="C10" s="126"/>
      <c r="D10" s="127"/>
      <c r="E10" s="127"/>
      <c r="F10" s="127"/>
      <c r="G10" s="125"/>
    </row>
    <row r="11" spans="2:7" ht="15" customHeight="1" x14ac:dyDescent="0.2">
      <c r="B11" s="126"/>
      <c r="C11" s="126"/>
      <c r="D11" s="127"/>
      <c r="E11" s="127"/>
      <c r="F11" s="127"/>
      <c r="G11" s="125"/>
    </row>
    <row r="12" spans="2:7" ht="15" customHeight="1" x14ac:dyDescent="0.2">
      <c r="B12" s="126"/>
      <c r="C12" s="126"/>
      <c r="D12" s="127"/>
      <c r="E12" s="127"/>
      <c r="F12" s="127"/>
      <c r="G12" s="125"/>
    </row>
    <row r="13" spans="2:7" ht="15" customHeight="1" x14ac:dyDescent="0.2">
      <c r="B13" s="126"/>
      <c r="C13" s="126"/>
      <c r="D13" s="127"/>
      <c r="E13" s="127"/>
      <c r="F13" s="127"/>
      <c r="G13" s="125"/>
    </row>
    <row r="14" spans="2:7" ht="15" customHeight="1" x14ac:dyDescent="0.2">
      <c r="B14" s="126"/>
      <c r="C14" s="126"/>
      <c r="D14" s="127"/>
      <c r="E14" s="127"/>
      <c r="F14" s="127"/>
      <c r="G14" s="125"/>
    </row>
    <row r="15" spans="2:7" ht="15" customHeight="1" x14ac:dyDescent="0.2">
      <c r="B15" s="126"/>
      <c r="C15" s="126"/>
      <c r="D15" s="127"/>
      <c r="E15" s="127"/>
      <c r="F15" s="127"/>
      <c r="G15" s="125"/>
    </row>
    <row r="16" spans="2:7" ht="15" customHeight="1" x14ac:dyDescent="0.2">
      <c r="B16" s="126"/>
      <c r="C16" s="126"/>
      <c r="D16" s="127"/>
      <c r="E16" s="127"/>
      <c r="F16" s="127"/>
      <c r="G16" s="125"/>
    </row>
    <row r="17" spans="2:7" ht="15" customHeight="1" x14ac:dyDescent="0.2">
      <c r="B17" s="126"/>
      <c r="C17" s="126"/>
      <c r="D17" s="127"/>
      <c r="E17" s="127"/>
      <c r="F17" s="127"/>
      <c r="G17" s="125"/>
    </row>
    <row r="18" spans="2:7" ht="15" customHeight="1" x14ac:dyDescent="0.2">
      <c r="B18" s="126"/>
      <c r="C18" s="126"/>
      <c r="D18" s="127"/>
      <c r="E18" s="127"/>
      <c r="F18" s="127"/>
      <c r="G18" s="125"/>
    </row>
    <row r="19" spans="2:7" ht="15" customHeight="1" x14ac:dyDescent="0.2">
      <c r="B19" s="126"/>
      <c r="C19" s="126"/>
      <c r="D19" s="127"/>
      <c r="E19" s="127"/>
      <c r="F19" s="127"/>
      <c r="G19" s="125"/>
    </row>
    <row r="20" spans="2:7" ht="15" customHeight="1" x14ac:dyDescent="0.2">
      <c r="B20" s="126"/>
      <c r="C20" s="126"/>
      <c r="D20" s="127"/>
      <c r="E20" s="127"/>
      <c r="F20" s="127"/>
      <c r="G20" s="125"/>
    </row>
    <row r="21" spans="2:7" ht="15" customHeight="1" x14ac:dyDescent="0.2">
      <c r="B21" s="126"/>
      <c r="C21" s="126"/>
      <c r="D21" s="127"/>
      <c r="E21" s="127"/>
      <c r="F21" s="127"/>
      <c r="G21" s="125"/>
    </row>
    <row r="22" spans="2:7" ht="15" customHeight="1" x14ac:dyDescent="0.2">
      <c r="B22" s="126"/>
      <c r="C22" s="126"/>
      <c r="D22" s="127"/>
      <c r="E22" s="127"/>
      <c r="F22" s="127"/>
      <c r="G22" s="125"/>
    </row>
    <row r="23" spans="2:7" ht="15" customHeight="1" x14ac:dyDescent="0.2">
      <c r="B23" s="126"/>
      <c r="C23" s="126"/>
      <c r="D23" s="127"/>
      <c r="E23" s="127"/>
      <c r="F23" s="127"/>
      <c r="G23" s="125"/>
    </row>
    <row r="24" spans="2:7" ht="15" customHeight="1" x14ac:dyDescent="0.2">
      <c r="B24" s="126"/>
      <c r="C24" s="126"/>
      <c r="D24" s="127"/>
      <c r="E24" s="127"/>
      <c r="F24" s="127"/>
      <c r="G24" s="125"/>
    </row>
    <row r="25" spans="2:7" ht="15" customHeight="1" x14ac:dyDescent="0.2">
      <c r="B25" s="126"/>
      <c r="C25" s="126"/>
      <c r="D25" s="127"/>
      <c r="E25" s="127"/>
      <c r="F25" s="127"/>
      <c r="G25" s="125"/>
    </row>
    <row r="26" spans="2:7" ht="15" customHeight="1" x14ac:dyDescent="0.2">
      <c r="B26" s="57"/>
      <c r="C26" s="128" t="s">
        <v>48</v>
      </c>
      <c r="D26" s="129">
        <f>SUM(D8:D25)</f>
        <v>0</v>
      </c>
      <c r="E26" s="129">
        <f>SUM(E8:E25)</f>
        <v>0</v>
      </c>
      <c r="F26" s="129">
        <f>SUM(F8:F25)</f>
        <v>0</v>
      </c>
      <c r="G26" s="130"/>
    </row>
    <row r="27" spans="2:7" ht="15" customHeight="1" x14ac:dyDescent="0.2">
      <c r="B27" s="57"/>
      <c r="C27" s="131" t="s">
        <v>186</v>
      </c>
      <c r="D27" s="99"/>
      <c r="E27" s="132"/>
      <c r="F27" s="132"/>
      <c r="G27" s="130"/>
    </row>
    <row r="28" spans="2:7" ht="15" customHeight="1" x14ac:dyDescent="0.2">
      <c r="B28" s="57"/>
      <c r="C28" s="128" t="s">
        <v>187</v>
      </c>
      <c r="D28" s="129">
        <f>D26</f>
        <v>0</v>
      </c>
      <c r="E28" s="129">
        <f>SUM(E26-E27)</f>
        <v>0</v>
      </c>
      <c r="F28" s="129">
        <f>SUM(F26-F27)</f>
        <v>0</v>
      </c>
      <c r="G28" s="130"/>
    </row>
    <row r="29" spans="2:7" ht="15" customHeight="1" x14ac:dyDescent="0.2">
      <c r="B29" s="57"/>
      <c r="C29" s="57"/>
      <c r="D29" s="57"/>
      <c r="E29" s="57"/>
      <c r="F29" s="57"/>
      <c r="G29" s="57"/>
    </row>
    <row r="30" spans="2:7" ht="15" customHeight="1" x14ac:dyDescent="0.2">
      <c r="B30" s="57"/>
      <c r="C30" s="57"/>
      <c r="D30" s="57"/>
      <c r="E30" s="57"/>
      <c r="F30" s="57"/>
      <c r="G30" s="57"/>
    </row>
    <row r="31" spans="2:7" ht="15" customHeight="1" x14ac:dyDescent="0.2">
      <c r="B31" s="249" t="s">
        <v>309</v>
      </c>
      <c r="C31" s="250" t="str">
        <f>CONCATENATE("Adjustments are required only if the transfer is being made in ",E7," and/or ",F7," from a non-budgeted fund.")</f>
        <v>Adjustments are required only if the transfer is being made in 2023 and/or 2024 from a non-budgeted fund.</v>
      </c>
      <c r="D31" s="57"/>
      <c r="E31" s="57"/>
      <c r="F31" s="57"/>
      <c r="G31" s="57"/>
    </row>
    <row r="32" spans="2:7" ht="15" customHeight="1" x14ac:dyDescent="0.2"/>
  </sheetData>
  <sheetProtection sheet="1"/>
  <mergeCells count="1">
    <mergeCell ref="B3:G3"/>
  </mergeCells>
  <phoneticPr fontId="8" type="noConversion"/>
  <pageMargins left="0.75" right="0.75" top="1" bottom="1" header="0.5" footer="0.5"/>
  <pageSetup orientation="landscape"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E97" sqref="E97"/>
    </sheetView>
  </sheetViews>
  <sheetFormatPr defaultColWidth="8.88671875" defaultRowHeight="15" x14ac:dyDescent="0.2"/>
  <cols>
    <col min="1" max="1" width="70.5546875" style="64" customWidth="1"/>
    <col min="2" max="16384" width="8.88671875" style="64"/>
  </cols>
  <sheetData>
    <row r="1" spans="1:1" ht="18.75" x14ac:dyDescent="0.2">
      <c r="A1" s="302" t="s">
        <v>245</v>
      </c>
    </row>
    <row r="2" spans="1:1" ht="18.75" x14ac:dyDescent="0.2">
      <c r="A2" s="302"/>
    </row>
    <row r="3" spans="1:1" ht="18.75" x14ac:dyDescent="0.2">
      <c r="A3" s="302"/>
    </row>
    <row r="4" spans="1:1" ht="51.75" customHeight="1" x14ac:dyDescent="0.25">
      <c r="A4" s="310" t="s">
        <v>335</v>
      </c>
    </row>
    <row r="5" spans="1:1" ht="18.75" x14ac:dyDescent="0.2">
      <c r="A5" s="302"/>
    </row>
    <row r="6" spans="1:1" ht="15.75" x14ac:dyDescent="0.2">
      <c r="A6" s="24"/>
    </row>
    <row r="7" spans="1:1" ht="47.25" x14ac:dyDescent="0.2">
      <c r="A7" s="303" t="s">
        <v>246</v>
      </c>
    </row>
    <row r="8" spans="1:1" ht="15.75" x14ac:dyDescent="0.2">
      <c r="A8" s="24"/>
    </row>
    <row r="9" spans="1:1" ht="15.75" x14ac:dyDescent="0.2">
      <c r="A9" s="24"/>
    </row>
    <row r="10" spans="1:1" ht="63" x14ac:dyDescent="0.2">
      <c r="A10" s="303" t="s">
        <v>247</v>
      </c>
    </row>
    <row r="11" spans="1:1" ht="15.75" x14ac:dyDescent="0.2">
      <c r="A11" s="304"/>
    </row>
    <row r="12" spans="1:1" ht="15.75" x14ac:dyDescent="0.2">
      <c r="A12" s="24"/>
    </row>
    <row r="13" spans="1:1" ht="47.25" x14ac:dyDescent="0.2">
      <c r="A13" s="303" t="s">
        <v>248</v>
      </c>
    </row>
    <row r="14" spans="1:1" ht="15.75" x14ac:dyDescent="0.2">
      <c r="A14" s="304"/>
    </row>
    <row r="15" spans="1:1" ht="15.75" x14ac:dyDescent="0.2">
      <c r="A15" s="24"/>
    </row>
    <row r="16" spans="1:1" ht="47.25" x14ac:dyDescent="0.2">
      <c r="A16" s="303" t="s">
        <v>249</v>
      </c>
    </row>
    <row r="17" spans="1:1" ht="15.75" x14ac:dyDescent="0.2">
      <c r="A17" s="304"/>
    </row>
    <row r="18" spans="1:1" ht="15.75" x14ac:dyDescent="0.2">
      <c r="A18" s="304"/>
    </row>
    <row r="19" spans="1:1" ht="47.25" x14ac:dyDescent="0.2">
      <c r="A19" s="303" t="s">
        <v>250</v>
      </c>
    </row>
    <row r="20" spans="1:1" ht="15.75" x14ac:dyDescent="0.2">
      <c r="A20" s="304"/>
    </row>
    <row r="21" spans="1:1" ht="15.75" x14ac:dyDescent="0.2">
      <c r="A21" s="304"/>
    </row>
    <row r="22" spans="1:1" ht="47.25" x14ac:dyDescent="0.2">
      <c r="A22" s="303" t="s">
        <v>251</v>
      </c>
    </row>
    <row r="23" spans="1:1" ht="15.75" x14ac:dyDescent="0.2">
      <c r="A23" s="304"/>
    </row>
    <row r="24" spans="1:1" ht="15.75" x14ac:dyDescent="0.2">
      <c r="A24" s="304"/>
    </row>
    <row r="25" spans="1:1" ht="31.5" x14ac:dyDescent="0.2">
      <c r="A25" s="303" t="s">
        <v>252</v>
      </c>
    </row>
    <row r="26" spans="1:1" ht="15.75" x14ac:dyDescent="0.2">
      <c r="A26" s="24"/>
    </row>
    <row r="27" spans="1:1" ht="15.75" x14ac:dyDescent="0.2">
      <c r="A27" s="24"/>
    </row>
    <row r="28" spans="1:1" ht="60" x14ac:dyDescent="0.2">
      <c r="A28" s="305" t="s">
        <v>253</v>
      </c>
    </row>
    <row r="29" spans="1:1" x14ac:dyDescent="0.2">
      <c r="A29" s="306"/>
    </row>
    <row r="30" spans="1:1" x14ac:dyDescent="0.2">
      <c r="A30" s="306"/>
    </row>
    <row r="31" spans="1:1" ht="47.25" x14ac:dyDescent="0.2">
      <c r="A31" s="303" t="s">
        <v>254</v>
      </c>
    </row>
    <row r="32" spans="1:1" ht="15.75" x14ac:dyDescent="0.2">
      <c r="A32" s="24"/>
    </row>
    <row r="33" spans="1:1" ht="15.75" x14ac:dyDescent="0.2">
      <c r="A33" s="24"/>
    </row>
    <row r="34" spans="1:1" ht="66.75" customHeight="1" x14ac:dyDescent="0.25">
      <c r="A34" s="309" t="s">
        <v>336</v>
      </c>
    </row>
    <row r="35" spans="1:1" ht="15.75" x14ac:dyDescent="0.2">
      <c r="A35" s="24"/>
    </row>
    <row r="36" spans="1:1" ht="15.75" x14ac:dyDescent="0.2">
      <c r="A36" s="24"/>
    </row>
    <row r="37" spans="1:1" ht="63" x14ac:dyDescent="0.2">
      <c r="A37" s="307" t="s">
        <v>255</v>
      </c>
    </row>
    <row r="38" spans="1:1" ht="15.75" x14ac:dyDescent="0.2">
      <c r="A38" s="304"/>
    </row>
    <row r="39" spans="1:1" ht="15.75" x14ac:dyDescent="0.2">
      <c r="A39" s="24"/>
    </row>
    <row r="40" spans="1:1" ht="63" x14ac:dyDescent="0.2">
      <c r="A40" s="303" t="s">
        <v>256</v>
      </c>
    </row>
    <row r="41" spans="1:1" ht="15.75" x14ac:dyDescent="0.2">
      <c r="A41" s="304"/>
    </row>
    <row r="42" spans="1:1" ht="15.75" x14ac:dyDescent="0.2">
      <c r="A42" s="304"/>
    </row>
    <row r="43" spans="1:1" ht="82.5" customHeight="1" x14ac:dyDescent="0.25">
      <c r="A43" s="301" t="s">
        <v>337</v>
      </c>
    </row>
    <row r="44" spans="1:1" ht="15.75" x14ac:dyDescent="0.2">
      <c r="A44" s="304"/>
    </row>
    <row r="45" spans="1:1" ht="15.75" x14ac:dyDescent="0.2">
      <c r="A45" s="304"/>
    </row>
    <row r="46" spans="1:1" ht="69" customHeight="1" x14ac:dyDescent="0.25">
      <c r="A46" s="301" t="s">
        <v>338</v>
      </c>
    </row>
    <row r="47" spans="1:1" ht="15.75" x14ac:dyDescent="0.2">
      <c r="A47" s="304"/>
    </row>
    <row r="48" spans="1:1" ht="15.75" x14ac:dyDescent="0.2">
      <c r="A48" s="304"/>
    </row>
    <row r="49" spans="1:1" ht="69" customHeight="1" x14ac:dyDescent="0.25">
      <c r="A49" s="301" t="s">
        <v>339</v>
      </c>
    </row>
    <row r="50" spans="1:1" ht="15.75" x14ac:dyDescent="0.2">
      <c r="A50" s="304"/>
    </row>
    <row r="51" spans="1:1" ht="15.75" x14ac:dyDescent="0.2">
      <c r="A51" s="304"/>
    </row>
    <row r="52" spans="1:1" ht="53.25" customHeight="1" x14ac:dyDescent="0.25">
      <c r="A52" s="301" t="s">
        <v>379</v>
      </c>
    </row>
    <row r="53" spans="1:1" ht="15.75" x14ac:dyDescent="0.2">
      <c r="A53" s="304"/>
    </row>
    <row r="54" spans="1:1" ht="15.75" x14ac:dyDescent="0.2">
      <c r="A54" s="304"/>
    </row>
    <row r="55" spans="1:1" ht="63" x14ac:dyDescent="0.2">
      <c r="A55" s="303" t="s">
        <v>257</v>
      </c>
    </row>
    <row r="56" spans="1:1" ht="15.75" x14ac:dyDescent="0.2">
      <c r="A56" s="304"/>
    </row>
    <row r="57" spans="1:1" ht="15.75" x14ac:dyDescent="0.2">
      <c r="A57" s="304"/>
    </row>
    <row r="58" spans="1:1" ht="63" x14ac:dyDescent="0.2">
      <c r="A58" s="303" t="s">
        <v>258</v>
      </c>
    </row>
    <row r="59" spans="1:1" ht="15.75" x14ac:dyDescent="0.2">
      <c r="A59" s="304"/>
    </row>
    <row r="60" spans="1:1" ht="15.75" x14ac:dyDescent="0.2">
      <c r="A60" s="304"/>
    </row>
    <row r="61" spans="1:1" ht="47.25" x14ac:dyDescent="0.2">
      <c r="A61" s="303" t="s">
        <v>259</v>
      </c>
    </row>
    <row r="62" spans="1:1" ht="15.75" x14ac:dyDescent="0.2">
      <c r="A62" s="304"/>
    </row>
    <row r="63" spans="1:1" ht="15.75" x14ac:dyDescent="0.2">
      <c r="A63" s="304"/>
    </row>
    <row r="64" spans="1:1" ht="47.25" x14ac:dyDescent="0.2">
      <c r="A64" s="303" t="s">
        <v>260</v>
      </c>
    </row>
    <row r="65" spans="1:1" ht="15.75" x14ac:dyDescent="0.2">
      <c r="A65" s="304"/>
    </row>
    <row r="66" spans="1:1" ht="15.75" x14ac:dyDescent="0.2">
      <c r="A66" s="304"/>
    </row>
    <row r="67" spans="1:1" ht="78.75" x14ac:dyDescent="0.2">
      <c r="A67" s="303" t="s">
        <v>261</v>
      </c>
    </row>
    <row r="68" spans="1:1" x14ac:dyDescent="0.2">
      <c r="A68" s="308"/>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da53aa1-44b3-4cd7-9bce-6d7e34741e4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EB70B4-B46A-4C87-A128-9E12ABFE0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21895E-D76C-4B96-9113-BD89C9374037}">
  <ds:schemaRefs>
    <ds:schemaRef ds:uri="eda53aa1-44b3-4cd7-9bce-6d7e34741e47"/>
    <ds:schemaRef ds:uri="7e2d0d8f-ac74-4d4c-8884-aff3748a733a"/>
    <ds:schemaRef ds:uri="http://purl.org/dc/terms/"/>
    <ds:schemaRef ds:uri="1895758b-fcac-4748-aa0a-5720d2d7d486"/>
    <ds:schemaRef ds:uri="http://schemas.microsoft.com/office/2006/documentManagement/types"/>
    <ds:schemaRef ds:uri="a9343af4-2466-41a9-9238-9dddcc3e6066"/>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FD45244-BECF-4B1E-A16F-507D8ADD2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11</vt:i4>
      </vt:variant>
    </vt:vector>
  </HeadingPairs>
  <TitlesOfParts>
    <vt:vector size="50"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vt:lpstr>
      <vt:lpstr>General</vt:lpstr>
      <vt:lpstr>General Detail</vt:lpstr>
      <vt:lpstr>DebtSvs-Library</vt:lpstr>
      <vt:lpstr>Employ Benys</vt:lpstr>
      <vt:lpstr>tort</vt:lpstr>
      <vt:lpstr>Spec Hwy</vt:lpstr>
      <vt:lpstr>cemetary</vt:lpstr>
      <vt:lpstr>Combined sales tax</vt:lpstr>
      <vt:lpstr>Community sales tax</vt:lpstr>
      <vt:lpstr>WaterSewer Utility</vt:lpstr>
      <vt:lpstr>Reserve Funds A</vt:lpstr>
      <vt:lpstr>Reserve Funds B</vt:lpstr>
      <vt:lpstr>Non-Bud Fund Statutes</vt:lpstr>
      <vt:lpstr>Summary Budget Hearing Notice</vt:lpstr>
      <vt:lpstr>Combined Rate-Bud Hearing Notic</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'Combined Rate-Bud Hearing Notic'!Print_Area</vt:lpstr>
      <vt:lpstr>'DebtSvs-Library'!Print_Area</vt:lpstr>
      <vt:lpstr>'Employ Benys'!Print_Area</vt:lpstr>
      <vt:lpstr>General!Print_Area</vt:lpstr>
      <vt:lpstr>inputPrYr!Print_Area</vt:lpstr>
      <vt:lpstr>'Library Grant'!Print_Area</vt:lpstr>
      <vt:lpstr>'LP Form'!Print_Area</vt:lpstr>
      <vt:lpstr>Mvalloc!Print_Area</vt:lpstr>
      <vt:lpstr>'RNR Hearing Notice'!Print_Area</vt:lpstr>
      <vt:lpstr>'Summary Budget Hearing Notice'!Print_Area</vt:lpstr>
      <vt:lpstr>tort!Print_Area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Tammy</cp:lastModifiedBy>
  <cp:lastPrinted>2023-07-13T00:05:30Z</cp:lastPrinted>
  <dcterms:created xsi:type="dcterms:W3CDTF">1999-08-03T13:11:47Z</dcterms:created>
  <dcterms:modified xsi:type="dcterms:W3CDTF">2023-07-14T20:21:40Z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